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0" yWindow="45" windowWidth="15195" windowHeight="8445"/>
  </bookViews>
  <sheets>
    <sheet name="Inc. da Área" sheetId="1" r:id="rId1"/>
    <sheet name="Inc. Atividade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71" i="2" l="1"/>
  <c r="B42" i="2"/>
  <c r="L30" i="1"/>
  <c r="L31" i="1"/>
  <c r="L32" i="1"/>
  <c r="L33" i="1"/>
  <c r="H22" i="1"/>
  <c r="H21" i="1"/>
  <c r="H20" i="1"/>
  <c r="B43" i="2"/>
  <c r="H15" i="1"/>
  <c r="B64" i="2"/>
  <c r="B70" i="2" s="1"/>
  <c r="B59" i="2"/>
  <c r="B44" i="2" s="1"/>
  <c r="G26" i="2"/>
  <c r="G27" i="2"/>
  <c r="G28" i="2"/>
  <c r="G29" i="2"/>
  <c r="G30" i="2"/>
  <c r="G31" i="2"/>
  <c r="G32" i="2"/>
  <c r="G25" i="2"/>
  <c r="G21" i="2"/>
  <c r="D25" i="2"/>
  <c r="D26" i="2"/>
  <c r="D27" i="2"/>
  <c r="J33" i="2"/>
  <c r="J34" i="2"/>
  <c r="D38" i="2"/>
  <c r="F38" i="2" s="1"/>
  <c r="K20" i="2"/>
  <c r="D37" i="1"/>
  <c r="F37" i="1" s="1"/>
  <c r="G20" i="2" s="1"/>
  <c r="J19" i="1"/>
  <c r="G20" i="1"/>
  <c r="J20" i="1" s="1"/>
  <c r="D21" i="1"/>
  <c r="J21" i="1" s="1"/>
  <c r="G22" i="1"/>
  <c r="B66" i="2"/>
  <c r="B69" i="2" s="1"/>
  <c r="B73" i="2" s="1"/>
  <c r="D28" i="2" s="1"/>
  <c r="J22" i="1" l="1"/>
  <c r="L34" i="1" s="1"/>
  <c r="A37" i="1"/>
  <c r="B47" i="2"/>
  <c r="H20" i="2" s="1"/>
  <c r="H37" i="1" l="1"/>
  <c r="D20" i="2" s="1"/>
  <c r="J20" i="2" s="1"/>
  <c r="L19" i="1"/>
  <c r="H25" i="2"/>
  <c r="J25" i="2" s="1"/>
  <c r="H30" i="2"/>
  <c r="J30" i="2" s="1"/>
  <c r="L22" i="1"/>
  <c r="L21" i="1"/>
  <c r="H32" i="2"/>
  <c r="J32" i="2" s="1"/>
  <c r="H26" i="2"/>
  <c r="J26" i="2" s="1"/>
  <c r="B52" i="2"/>
  <c r="H29" i="2"/>
  <c r="J29" i="2" s="1"/>
  <c r="H27" i="2"/>
  <c r="J27" i="2" s="1"/>
  <c r="H21" i="2"/>
  <c r="J21" i="2" s="1"/>
  <c r="H24" i="2"/>
  <c r="J24" i="2" s="1"/>
  <c r="H31" i="2"/>
  <c r="J31" i="2" s="1"/>
  <c r="H28" i="2"/>
  <c r="J28" i="2" s="1"/>
  <c r="H16" i="2"/>
  <c r="H23" i="2"/>
  <c r="J23" i="2" s="1"/>
  <c r="L20" i="1"/>
  <c r="H22" i="2"/>
  <c r="J22" i="2" s="1"/>
  <c r="A38" i="2" l="1"/>
  <c r="L24" i="2" s="1"/>
  <c r="L35" i="2"/>
  <c r="L26" i="2" l="1"/>
  <c r="L27" i="2"/>
  <c r="L23" i="2"/>
  <c r="L22" i="2"/>
  <c r="L29" i="2"/>
  <c r="L31" i="2"/>
  <c r="L28" i="2"/>
  <c r="L21" i="2"/>
  <c r="L25" i="2"/>
  <c r="L30" i="2"/>
  <c r="L32" i="2"/>
  <c r="L34" i="2"/>
  <c r="H38" i="2"/>
  <c r="L33" i="2"/>
  <c r="L20" i="2"/>
</calcChain>
</file>

<file path=xl/comments1.xml><?xml version="1.0" encoding="utf-8"?>
<comments xmlns="http://schemas.openxmlformats.org/spreadsheetml/2006/main">
  <authors>
    <author>gamma</author>
  </authors>
  <commentList>
    <comment ref="G22" authorId="0">
      <text>
        <r>
          <rPr>
            <b/>
            <sz val="8"/>
            <color indexed="81"/>
            <rFont val="Tahoma"/>
            <family val="2"/>
          </rPr>
          <t>Assumir divisor igual ao error multiplier (do edit analysis), pois este fator multiplica todas as incertezas individuais emitidas no relatório completo do Genie, conforme verificado dia 21/06/2013 - Nivaldo, Mychelle, Rodrigo</t>
        </r>
      </text>
    </comment>
  </commentList>
</comments>
</file>

<file path=xl/sharedStrings.xml><?xml version="1.0" encoding="utf-8"?>
<sst xmlns="http://schemas.openxmlformats.org/spreadsheetml/2006/main" count="222" uniqueCount="114">
  <si>
    <t>Serviço</t>
  </si>
  <si>
    <t>Valor de referência</t>
  </si>
  <si>
    <t>Unidade</t>
  </si>
  <si>
    <t>---</t>
  </si>
  <si>
    <t>Símbolo</t>
  </si>
  <si>
    <t>Fontes de incerteza</t>
  </si>
  <si>
    <t>Distribuição de
probabilidade</t>
  </si>
  <si>
    <t>Divisor</t>
  </si>
  <si>
    <r>
      <t>Coeficiente de
sensibilidade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c</t>
    </r>
    <r>
      <rPr>
        <i/>
        <vertAlign val="subscript"/>
        <sz val="10"/>
        <rFont val="Times New Roman"/>
        <family val="1"/>
      </rPr>
      <t>i</t>
    </r>
  </si>
  <si>
    <t>Incerteza
 padrão</t>
  </si>
  <si>
    <t>Graus de liberdade</t>
  </si>
  <si>
    <t>Nome</t>
  </si>
  <si>
    <t>Valor 
(+/-)</t>
  </si>
  <si>
    <t>Valor</t>
  </si>
  <si>
    <r>
      <rPr>
        <i/>
        <sz val="10"/>
        <rFont val="Times New Roman"/>
        <family val="1"/>
      </rPr>
      <t>u</t>
    </r>
    <r>
      <rPr>
        <i/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>[  ---  ]</t>
    </r>
  </si>
  <si>
    <r>
      <rPr>
        <sz val="10"/>
        <rFont val="Symbol"/>
        <family val="1"/>
        <charset val="2"/>
      </rPr>
      <t>n</t>
    </r>
    <r>
      <rPr>
        <vertAlign val="subscript"/>
        <sz val="10"/>
        <rFont val="Arial"/>
        <family val="2"/>
      </rPr>
      <t xml:space="preserve">i </t>
    </r>
    <r>
      <rPr>
        <b/>
        <i/>
        <sz val="20"/>
        <rFont val="Footlight MT Light"/>
        <family val="1"/>
      </rPr>
      <t/>
    </r>
  </si>
  <si>
    <r>
      <t>u</t>
    </r>
    <r>
      <rPr>
        <i/>
        <vertAlign val="subscript"/>
        <sz val="10"/>
        <rFont val="Times New Roman"/>
        <family val="1"/>
      </rPr>
      <t>Ns</t>
    </r>
  </si>
  <si>
    <t>Incerteza de Ns</t>
  </si>
  <si>
    <t>normal</t>
  </si>
  <si>
    <t>Bq/kg</t>
  </si>
  <si>
    <t>infinito</t>
  </si>
  <si>
    <r>
      <t>u</t>
    </r>
    <r>
      <rPr>
        <i/>
        <vertAlign val="subscript"/>
        <sz val="10"/>
        <rFont val="Times New Roman"/>
        <family val="1"/>
      </rPr>
      <t>ts</t>
    </r>
  </si>
  <si>
    <t>Incerteza de ts</t>
  </si>
  <si>
    <t>s</t>
  </si>
  <si>
    <t>retangular</t>
  </si>
  <si>
    <t>Bq/skg</t>
  </si>
  <si>
    <r>
      <t>u</t>
    </r>
    <r>
      <rPr>
        <i/>
        <vertAlign val="subscript"/>
        <sz val="10"/>
        <rFont val="Times New Roman"/>
        <family val="1"/>
      </rPr>
      <t>Nb</t>
    </r>
  </si>
  <si>
    <t>Incerteza de Nb</t>
  </si>
  <si>
    <r>
      <t>u</t>
    </r>
    <r>
      <rPr>
        <i/>
        <vertAlign val="subscript"/>
        <sz val="10"/>
        <rFont val="Times New Roman"/>
        <family val="1"/>
      </rPr>
      <t>tb</t>
    </r>
  </si>
  <si>
    <t>Incerteza de tb</t>
  </si>
  <si>
    <r>
      <t>Incerteza padrão
 combinada (</t>
    </r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</si>
  <si>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r>
      <t>Graus de liberdade
 (</t>
    </r>
    <r>
      <rPr>
        <i/>
        <sz val="10"/>
        <rFont val="Symbol"/>
        <family val="1"/>
        <charset val="2"/>
      </rPr>
      <t>n</t>
    </r>
    <r>
      <rPr>
        <i/>
        <vertAlign val="subscript"/>
        <sz val="10"/>
        <rFont val="Arial"/>
        <family val="2"/>
      </rPr>
      <t>eff</t>
    </r>
    <r>
      <rPr>
        <i/>
        <sz val="10"/>
        <rFont val="Arial"/>
        <family val="2"/>
      </rPr>
      <t>)</t>
    </r>
  </si>
  <si>
    <t>Fator de abrangência
 (k)</t>
  </si>
  <si>
    <r>
      <t>Incerteza expandida (</t>
    </r>
    <r>
      <rPr>
        <i/>
        <sz val="10"/>
        <rFont val="Arial"/>
        <family val="2"/>
      </rPr>
      <t>U</t>
    </r>
    <r>
      <rPr>
        <sz val="10"/>
        <rFont val="Arial"/>
        <family val="2"/>
      </rPr>
      <t xml:space="preserve">)
(Probabilidade </t>
    </r>
    <r>
      <rPr>
        <sz val="10"/>
        <rFont val="Symbol"/>
        <family val="1"/>
        <charset val="2"/>
      </rPr>
      <t xml:space="preserve">@ </t>
    </r>
    <r>
      <rPr>
        <sz val="10"/>
        <rFont val="Arial"/>
        <family val="2"/>
      </rPr>
      <t>95%)</t>
    </r>
  </si>
  <si>
    <t>Ns</t>
  </si>
  <si>
    <t>ts</t>
  </si>
  <si>
    <t>tb</t>
  </si>
  <si>
    <t>Nb</t>
  </si>
  <si>
    <t>Cálculo da contagem corrigida em função do BG</t>
  </si>
  <si>
    <t>Cálculo Área</t>
  </si>
  <si>
    <r>
      <t>u</t>
    </r>
    <r>
      <rPr>
        <i/>
        <vertAlign val="subscript"/>
        <sz val="10"/>
        <rFont val="Times New Roman"/>
        <family val="1"/>
      </rPr>
      <t>N</t>
    </r>
  </si>
  <si>
    <t>Incerteza da contagem</t>
  </si>
  <si>
    <t>normal (k)</t>
  </si>
  <si>
    <t>Incerteza do tempo vivo</t>
  </si>
  <si>
    <r>
      <t>u</t>
    </r>
    <r>
      <rPr>
        <i/>
        <vertAlign val="subscript"/>
        <sz val="10"/>
        <rFont val="Symbol"/>
        <family val="1"/>
        <charset val="2"/>
      </rPr>
      <t>e</t>
    </r>
  </si>
  <si>
    <t>Incerteza da Eficiência</t>
  </si>
  <si>
    <r>
      <t>u</t>
    </r>
    <r>
      <rPr>
        <i/>
        <vertAlign val="subscript"/>
        <sz val="10"/>
        <rFont val="Symbol"/>
        <family val="1"/>
        <charset val="2"/>
      </rPr>
      <t>g</t>
    </r>
  </si>
  <si>
    <t>Incerteza da emissão gama</t>
  </si>
  <si>
    <r>
      <t>u</t>
    </r>
    <r>
      <rPr>
        <i/>
        <vertAlign val="subscript"/>
        <sz val="10"/>
        <rFont val="Times New Roman"/>
        <family val="1"/>
      </rPr>
      <t>m.cal</t>
    </r>
  </si>
  <si>
    <t>Incerteza da calibração da balança</t>
  </si>
  <si>
    <t>kg</t>
  </si>
  <si>
    <t>Bq/kg²</t>
  </si>
  <si>
    <r>
      <t>u</t>
    </r>
    <r>
      <rPr>
        <i/>
        <vertAlign val="subscript"/>
        <sz val="10"/>
        <rFont val="Times New Roman"/>
        <family val="1"/>
      </rPr>
      <t>m.res</t>
    </r>
  </si>
  <si>
    <t>Incerteza da resolução da balança</t>
  </si>
  <si>
    <r>
      <t>u</t>
    </r>
    <r>
      <rPr>
        <i/>
        <vertAlign val="subscript"/>
        <sz val="10"/>
        <rFont val="Times New Roman"/>
        <family val="1"/>
      </rPr>
      <t>m.der</t>
    </r>
  </si>
  <si>
    <t>Incerteza devido à deriva da balança</t>
  </si>
  <si>
    <r>
      <t>u</t>
    </r>
    <r>
      <rPr>
        <i/>
        <vertAlign val="subscript"/>
        <sz val="10"/>
        <rFont val="Times New Roman"/>
        <family val="1"/>
      </rPr>
      <t>m.exc</t>
    </r>
  </si>
  <si>
    <t>Incerteza devido à excentricidade da balança</t>
  </si>
  <si>
    <r>
      <t>u</t>
    </r>
    <r>
      <rPr>
        <i/>
        <vertAlign val="subscript"/>
        <sz val="10"/>
        <rFont val="Times New Roman"/>
        <family val="1"/>
      </rPr>
      <t>K1</t>
    </r>
  </si>
  <si>
    <t>Incerteza do fator K1</t>
  </si>
  <si>
    <r>
      <t>u</t>
    </r>
    <r>
      <rPr>
        <i/>
        <vertAlign val="subscript"/>
        <sz val="10"/>
        <rFont val="Times New Roman"/>
        <family val="1"/>
      </rPr>
      <t>K2</t>
    </r>
  </si>
  <si>
    <t>Incerteza do fator K2</t>
  </si>
  <si>
    <r>
      <t>u</t>
    </r>
    <r>
      <rPr>
        <i/>
        <vertAlign val="subscript"/>
        <sz val="10"/>
        <rFont val="Times New Roman"/>
        <family val="1"/>
      </rPr>
      <t>K3</t>
    </r>
  </si>
  <si>
    <t>Incerteza do fator K3</t>
  </si>
  <si>
    <r>
      <t>u</t>
    </r>
    <r>
      <rPr>
        <i/>
        <vertAlign val="subscript"/>
        <sz val="10"/>
        <rFont val="Times New Roman"/>
        <family val="1"/>
      </rPr>
      <t>K4</t>
    </r>
  </si>
  <si>
    <t>Incerteza do fator K4</t>
  </si>
  <si>
    <r>
      <t>u</t>
    </r>
    <r>
      <rPr>
        <i/>
        <vertAlign val="subscript"/>
        <sz val="10"/>
        <rFont val="Times New Roman"/>
        <family val="1"/>
      </rPr>
      <t>K5</t>
    </r>
  </si>
  <si>
    <t>Incerteza do fator K5</t>
  </si>
  <si>
    <r>
      <t>u</t>
    </r>
    <r>
      <rPr>
        <i/>
        <vertAlign val="subscript"/>
        <sz val="10"/>
        <rFont val="Times New Roman"/>
        <family val="1"/>
      </rPr>
      <t>rep</t>
    </r>
  </si>
  <si>
    <t>Repetibilidade</t>
  </si>
  <si>
    <r>
      <t>u</t>
    </r>
    <r>
      <rPr>
        <i/>
        <vertAlign val="subscript"/>
        <sz val="10"/>
        <rFont val="Times New Roman"/>
        <family val="1"/>
      </rPr>
      <t>pin</t>
    </r>
  </si>
  <si>
    <t>Precisão intermediária</t>
  </si>
  <si>
    <t>N</t>
  </si>
  <si>
    <t>e</t>
  </si>
  <si>
    <t>g</t>
  </si>
  <si>
    <t>m</t>
  </si>
  <si>
    <r>
      <t>K</t>
    </r>
    <r>
      <rPr>
        <i/>
        <vertAlign val="subscript"/>
        <sz val="10"/>
        <rFont val="Cambria"/>
        <family val="1"/>
      </rPr>
      <t>1</t>
    </r>
  </si>
  <si>
    <r>
      <t>K</t>
    </r>
    <r>
      <rPr>
        <i/>
        <vertAlign val="subscript"/>
        <sz val="10"/>
        <rFont val="Cambria"/>
        <family val="1"/>
      </rPr>
      <t>2</t>
    </r>
  </si>
  <si>
    <r>
      <t>K</t>
    </r>
    <r>
      <rPr>
        <i/>
        <vertAlign val="subscript"/>
        <sz val="10"/>
        <rFont val="Cambria"/>
        <family val="1"/>
      </rPr>
      <t>3</t>
    </r>
  </si>
  <si>
    <r>
      <t>K</t>
    </r>
    <r>
      <rPr>
        <i/>
        <vertAlign val="subscript"/>
        <sz val="10"/>
        <rFont val="Cambria"/>
        <family val="1"/>
      </rPr>
      <t>4</t>
    </r>
  </si>
  <si>
    <r>
      <t>K</t>
    </r>
    <r>
      <rPr>
        <i/>
        <vertAlign val="subscript"/>
        <sz val="10"/>
        <rFont val="Cambria"/>
        <family val="1"/>
      </rPr>
      <t>5</t>
    </r>
  </si>
  <si>
    <t>E</t>
  </si>
  <si>
    <t>a</t>
  </si>
  <si>
    <t>b</t>
  </si>
  <si>
    <t>c</t>
  </si>
  <si>
    <t>Porcentagem de Contribuição</t>
  </si>
  <si>
    <t>Eficiência</t>
  </si>
  <si>
    <r>
      <t>Fator K</t>
    </r>
    <r>
      <rPr>
        <b/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</si>
  <si>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i</t>
    </r>
  </si>
  <si>
    <r>
      <t>t</t>
    </r>
    <r>
      <rPr>
        <vertAlign val="subscript"/>
        <sz val="10"/>
        <rFont val="Arial"/>
        <family val="2"/>
      </rPr>
      <t>f</t>
    </r>
  </si>
  <si>
    <t>Atividade</t>
  </si>
  <si>
    <r>
      <t>T</t>
    </r>
    <r>
      <rPr>
        <vertAlign val="subscript"/>
        <sz val="10"/>
        <rFont val="Arial"/>
        <family val="2"/>
      </rPr>
      <t xml:space="preserve">1/2 </t>
    </r>
    <r>
      <rPr>
        <sz val="10"/>
        <rFont val="Arial"/>
        <family val="2"/>
      </rPr>
      <t>(anos)</t>
    </r>
  </si>
  <si>
    <t>Não Aplicável</t>
  </si>
  <si>
    <r>
      <t>Aplicável se necessária Correção de T</t>
    </r>
    <r>
      <rPr>
        <vertAlign val="subscript"/>
        <sz val="10"/>
        <color indexed="10"/>
        <rFont val="Arial"/>
        <family val="2"/>
      </rPr>
      <t>1/2</t>
    </r>
  </si>
  <si>
    <t xml:space="preserve">Não Aplicável </t>
  </si>
  <si>
    <r>
      <t>Coeficiente de
sensibilidade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c</t>
    </r>
    <r>
      <rPr>
        <b/>
        <i/>
        <vertAlign val="subscript"/>
        <sz val="10"/>
        <rFont val="Times New Roman"/>
        <family val="1"/>
      </rPr>
      <t>i</t>
    </r>
  </si>
  <si>
    <r>
      <t>u</t>
    </r>
    <r>
      <rPr>
        <b/>
        <i/>
        <vertAlign val="subscript"/>
        <sz val="10"/>
        <rFont val="Times New Roman"/>
        <family val="1"/>
      </rPr>
      <t>i</t>
    </r>
    <r>
      <rPr>
        <b/>
        <sz val="10"/>
        <rFont val="Arial"/>
        <family val="2"/>
      </rPr>
      <t>[  Bq/kg  ]</t>
    </r>
  </si>
  <si>
    <r>
      <t>n</t>
    </r>
    <r>
      <rPr>
        <b/>
        <vertAlign val="subscript"/>
        <sz val="10"/>
        <rFont val="Arial"/>
        <family val="2"/>
      </rPr>
      <t xml:space="preserve">i </t>
    </r>
    <r>
      <rPr>
        <b/>
        <i/>
        <sz val="20"/>
        <rFont val="Footlight MT Light"/>
        <family val="1"/>
      </rPr>
      <t/>
    </r>
  </si>
  <si>
    <r>
      <t>t</t>
    </r>
    <r>
      <rPr>
        <vertAlign val="subscript"/>
        <sz val="10"/>
        <rFont val="Arial"/>
        <family val="2"/>
      </rPr>
      <t>w</t>
    </r>
  </si>
  <si>
    <r>
      <t>Incerteza K</t>
    </r>
    <r>
      <rPr>
        <b/>
        <vertAlign val="subscript"/>
        <sz val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</si>
  <si>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1</t>
    </r>
  </si>
  <si>
    <r>
      <t>u</t>
    </r>
    <r>
      <rPr>
        <i/>
        <vertAlign val="subscript"/>
        <sz val="10"/>
        <rFont val="Arial"/>
        <family val="2"/>
      </rPr>
      <t>T1/2</t>
    </r>
  </si>
  <si>
    <r>
      <t>u</t>
    </r>
    <r>
      <rPr>
        <vertAlign val="subscript"/>
        <sz val="10"/>
        <rFont val="Arial"/>
        <family val="2"/>
      </rPr>
      <t>K1</t>
    </r>
  </si>
  <si>
    <r>
      <t xml:space="preserve">Concentração de atividade de </t>
    </r>
    <r>
      <rPr>
        <b/>
        <i/>
        <vertAlign val="superscript"/>
        <sz val="10"/>
        <rFont val="Arial"/>
        <family val="2"/>
      </rPr>
      <t>137</t>
    </r>
    <r>
      <rPr>
        <b/>
        <i/>
        <sz val="10"/>
        <rFont val="Arial"/>
        <family val="2"/>
      </rPr>
      <t>Cs em Vegetação por Espectrometria Gama</t>
    </r>
  </si>
  <si>
    <t>A</t>
  </si>
  <si>
    <t>Modelo:</t>
  </si>
  <si>
    <t>Revisão 00</t>
  </si>
  <si>
    <t xml:space="preserve">  SETOR: Radônio</t>
  </si>
  <si>
    <t>Responsável pela emissão: Nivaldo Carlos da Silva</t>
  </si>
  <si>
    <t>Concentração de atividade de Ra-226, Ra-228 e Pb-210em solo e sedimento por espectrometria gama</t>
  </si>
  <si>
    <t xml:space="preserve">INCERTEZA NA DETERMINAÇÃO DE Ra-226, Ra-228 e Pb-210 EM SOLO E SEDIMENTO POR ESPECTROMETRIA GAMA DE ALTA RESOLUÇÃO </t>
  </si>
  <si>
    <r>
      <rPr>
        <sz val="12"/>
        <rFont val="Times New Roman"/>
        <family val="1"/>
      </rPr>
      <t>PN-LAPOC-8001</t>
    </r>
    <r>
      <rPr>
        <sz val="10"/>
        <rFont val="Arial"/>
        <family val="2"/>
      </rPr>
      <t xml:space="preserve"> - </t>
    </r>
    <r>
      <rPr>
        <sz val="12"/>
        <rFont val="Times New Roman"/>
        <family val="1"/>
      </rPr>
      <t>Ensaio para determinação de Ra-226, Ra-228 e Pb-210 em solo e sedimento por                                                          Espectrometria Gama de alta resolução (FT-LAPOC-8001-02)</t>
    </r>
  </si>
  <si>
    <t>Data de emissão: 14 Fevereiro 2014</t>
  </si>
  <si>
    <t>PN-LAPOC-8001 - Ensaio para determinação de Ra-226, Ra-228 e Pb-210 em solo e sedimento por                                                                         Espectrometria Gama de alta resolução (FT-LAPOC-8001-02)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</si>
</sst>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0.000%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b/>
      <i/>
      <sz val="20"/>
      <name val="Footlight MT Light"/>
      <family val="1"/>
    </font>
    <font>
      <sz val="10"/>
      <color indexed="9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  <charset val="2"/>
    </font>
    <font>
      <sz val="10"/>
      <color indexed="10"/>
      <name val="Arial"/>
      <family val="2"/>
    </font>
    <font>
      <i/>
      <sz val="10"/>
      <name val="Cambria"/>
      <family val="1"/>
    </font>
    <font>
      <sz val="8"/>
      <name val="Arial"/>
      <family val="2"/>
    </font>
    <font>
      <i/>
      <vertAlign val="subscript"/>
      <sz val="10"/>
      <name val="Symbol"/>
      <family val="1"/>
      <charset val="2"/>
    </font>
    <font>
      <i/>
      <vertAlign val="subscript"/>
      <sz val="10"/>
      <name val="Cambria"/>
      <family val="1"/>
    </font>
    <font>
      <b/>
      <sz val="8"/>
      <color indexed="81"/>
      <name val="Tahoma"/>
      <family val="2"/>
    </font>
    <font>
      <b/>
      <vertAlign val="subscript"/>
      <sz val="10"/>
      <name val="Arial"/>
      <family val="2"/>
    </font>
    <font>
      <vertAlign val="subscript"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Symbol"/>
      <family val="1"/>
      <charset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left"/>
    </xf>
    <xf numFmtId="0" fontId="17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0" quotePrefix="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71" fontId="2" fillId="0" borderId="0" xfId="2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6" fillId="0" borderId="1" xfId="0" applyFont="1" applyBorder="1" applyAlignment="1">
      <alignment horizontal="center"/>
    </xf>
    <xf numFmtId="171" fontId="2" fillId="0" borderId="1" xfId="2" applyNumberFormat="1" applyFont="1" applyBorder="1" applyAlignment="1">
      <alignment horizontal="center" vertical="center"/>
    </xf>
    <xf numFmtId="171" fontId="2" fillId="0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0" fillId="0" borderId="0" xfId="0" applyAlignment="1"/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 applyProtection="1">
      <alignment horizontal="center"/>
      <protection locked="0"/>
    </xf>
    <xf numFmtId="166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67" fontId="2" fillId="4" borderId="1" xfId="0" applyNumberFormat="1" applyFon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Protection="1">
      <protection locked="0"/>
    </xf>
    <xf numFmtId="167" fontId="0" fillId="0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167" fontId="0" fillId="0" borderId="1" xfId="0" applyNumberFormat="1" applyFill="1" applyBorder="1"/>
    <xf numFmtId="166" fontId="0" fillId="0" borderId="1" xfId="0" applyNumberFormat="1" applyFill="1" applyBorder="1"/>
    <xf numFmtId="166" fontId="3" fillId="0" borderId="1" xfId="0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 applyProtection="1">
      <alignment horizontal="center"/>
      <protection locked="0"/>
    </xf>
    <xf numFmtId="0" fontId="25" fillId="5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 wrapText="1"/>
    </xf>
    <xf numFmtId="166" fontId="2" fillId="3" borderId="9" xfId="0" applyNumberFormat="1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 wrapText="1"/>
    </xf>
    <xf numFmtId="166" fontId="2" fillId="3" borderId="11" xfId="0" applyNumberFormat="1" applyFont="1" applyFill="1" applyBorder="1" applyAlignment="1">
      <alignment horizontal="center" vertical="center" wrapText="1"/>
    </xf>
    <xf numFmtId="166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7" fontId="3" fillId="0" borderId="7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/>
    </xf>
    <xf numFmtId="0" fontId="0" fillId="0" borderId="7" xfId="0" applyBorder="1" applyAlignment="1"/>
    <xf numFmtId="0" fontId="0" fillId="0" borderId="3" xfId="0" applyBorder="1" applyAlignment="1"/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7" fontId="3" fillId="0" borderId="2" xfId="0" quotePrefix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4" xfId="0" applyFill="1" applyBorder="1"/>
    <xf numFmtId="0" fontId="0" fillId="3" borderId="12" xfId="0" applyFill="1" applyBorder="1"/>
    <xf numFmtId="0" fontId="3" fillId="3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4" fillId="0" borderId="8" xfId="0" applyFont="1" applyBorder="1" applyAlignment="1">
      <alignment horizontal="center" wrapText="1"/>
    </xf>
    <xf numFmtId="0" fontId="34" fillId="0" borderId="9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3" borderId="8" xfId="0" applyFill="1" applyBorder="1"/>
    <xf numFmtId="0" fontId="0" fillId="3" borderId="11" xfId="0" applyFill="1" applyBorder="1"/>
    <xf numFmtId="167" fontId="3" fillId="5" borderId="2" xfId="0" applyNumberFormat="1" applyFont="1" applyFill="1" applyBorder="1" applyAlignment="1">
      <alignment horizontal="center" vertical="center"/>
    </xf>
    <xf numFmtId="167" fontId="3" fillId="5" borderId="3" xfId="0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2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7" fontId="3" fillId="5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2" fontId="25" fillId="5" borderId="2" xfId="0" applyNumberFormat="1" applyFont="1" applyFill="1" applyBorder="1" applyAlignment="1">
      <alignment horizontal="center" vertical="center"/>
    </xf>
    <xf numFmtId="2" fontId="25" fillId="5" borderId="7" xfId="0" applyNumberFormat="1" applyFont="1" applyFill="1" applyBorder="1" applyAlignment="1">
      <alignment horizontal="center" vertical="center"/>
    </xf>
    <xf numFmtId="2" fontId="25" fillId="5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</xdr:row>
      <xdr:rowOff>0</xdr:rowOff>
    </xdr:from>
    <xdr:to>
      <xdr:col>11</xdr:col>
      <xdr:colOff>695325</xdr:colOff>
      <xdr:row>6</xdr:row>
      <xdr:rowOff>171450</xdr:rowOff>
    </xdr:to>
    <xdr:pic>
      <xdr:nvPicPr>
        <xdr:cNvPr id="30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752475"/>
          <a:ext cx="2143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9</xdr:row>
      <xdr:rowOff>76200</xdr:rowOff>
    </xdr:from>
    <xdr:to>
      <xdr:col>6</xdr:col>
      <xdr:colOff>114300</xdr:colOff>
      <xdr:row>11</xdr:row>
      <xdr:rowOff>180975</xdr:rowOff>
    </xdr:to>
    <xdr:pic>
      <xdr:nvPicPr>
        <xdr:cNvPr id="30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52700" y="1895475"/>
          <a:ext cx="2266950" cy="504825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200025</xdr:rowOff>
    </xdr:from>
    <xdr:to>
      <xdr:col>8</xdr:col>
      <xdr:colOff>66675</xdr:colOff>
      <xdr:row>12</xdr:row>
      <xdr:rowOff>95250</xdr:rowOff>
    </xdr:to>
    <xdr:pic>
      <xdr:nvPicPr>
        <xdr:cNvPr id="2060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48025" y="1838325"/>
          <a:ext cx="3438525" cy="59055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361950</xdr:colOff>
      <xdr:row>3</xdr:row>
      <xdr:rowOff>66675</xdr:rowOff>
    </xdr:from>
    <xdr:to>
      <xdr:col>11</xdr:col>
      <xdr:colOff>457200</xdr:colOff>
      <xdr:row>6</xdr:row>
      <xdr:rowOff>76200</xdr:rowOff>
    </xdr:to>
    <xdr:pic>
      <xdr:nvPicPr>
        <xdr:cNvPr id="2061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1825" y="666750"/>
          <a:ext cx="2171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61</xdr:row>
          <xdr:rowOff>133350</xdr:rowOff>
        </xdr:from>
        <xdr:to>
          <xdr:col>2</xdr:col>
          <xdr:colOff>1733550</xdr:colOff>
          <xdr:row>64</xdr:row>
          <xdr:rowOff>104775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67</xdr:row>
          <xdr:rowOff>38100</xdr:rowOff>
        </xdr:from>
        <xdr:to>
          <xdr:col>4</xdr:col>
          <xdr:colOff>523875</xdr:colOff>
          <xdr:row>72</xdr:row>
          <xdr:rowOff>190500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bium\Pastas\Rodrigo_B\Planilhas_Incerteza\137Cs_LAPOC_incerteza_Vegeta&#231;&#227;o%20PNI%20Abri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rteza_N"/>
      <sheetName val="INCERTEZA_FINAL"/>
      <sheetName val="Revisões"/>
    </sheetNames>
    <sheetDataSet>
      <sheetData sheetId="0" refreshError="1">
        <row r="7">
          <cell r="H7">
            <v>3070</v>
          </cell>
        </row>
        <row r="29">
          <cell r="D29" t="str">
            <v>Infinito</v>
          </cell>
        </row>
        <row r="37">
          <cell r="B37">
            <v>83202.509999999995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workbookViewId="0">
      <selection activeCell="I4" sqref="I4:L7"/>
    </sheetView>
  </sheetViews>
  <sheetFormatPr defaultRowHeight="12.75" x14ac:dyDescent="0.2"/>
  <cols>
    <col min="5" max="5" width="21.85546875" customWidth="1"/>
    <col min="6" max="6" width="12.140625" customWidth="1"/>
    <col min="12" max="12" width="16" bestFit="1" customWidth="1"/>
  </cols>
  <sheetData>
    <row r="1" spans="1:12" x14ac:dyDescent="0.2">
      <c r="A1" s="97" t="s">
        <v>111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21" customHeight="1" x14ac:dyDescent="0.2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x14ac:dyDescent="0.2">
      <c r="B3" s="61"/>
      <c r="C3" s="61"/>
      <c r="D3" s="61"/>
      <c r="E3" s="61"/>
      <c r="F3" s="61"/>
      <c r="G3" s="61"/>
      <c r="I3" s="61"/>
      <c r="J3" s="62"/>
      <c r="K3" s="62"/>
      <c r="L3" s="62"/>
    </row>
    <row r="4" spans="1:12" x14ac:dyDescent="0.2">
      <c r="A4" s="118" t="s">
        <v>110</v>
      </c>
      <c r="B4" s="119"/>
      <c r="C4" s="119"/>
      <c r="D4" s="119"/>
      <c r="E4" s="120"/>
      <c r="F4" s="118" t="s">
        <v>107</v>
      </c>
      <c r="G4" s="119"/>
      <c r="H4" s="120"/>
      <c r="I4" s="127"/>
      <c r="J4" s="128"/>
      <c r="K4" s="128"/>
      <c r="L4" s="129"/>
    </row>
    <row r="5" spans="1:12" x14ac:dyDescent="0.2">
      <c r="A5" s="121"/>
      <c r="B5" s="122"/>
      <c r="C5" s="122"/>
      <c r="D5" s="122"/>
      <c r="E5" s="123"/>
      <c r="F5" s="121"/>
      <c r="G5" s="122"/>
      <c r="H5" s="123"/>
      <c r="I5" s="130"/>
      <c r="J5" s="131"/>
      <c r="K5" s="131"/>
      <c r="L5" s="132"/>
    </row>
    <row r="6" spans="1:12" x14ac:dyDescent="0.2">
      <c r="A6" s="121"/>
      <c r="B6" s="122"/>
      <c r="C6" s="122"/>
      <c r="D6" s="122"/>
      <c r="E6" s="123"/>
      <c r="F6" s="121"/>
      <c r="G6" s="122"/>
      <c r="H6" s="123"/>
      <c r="I6" s="130"/>
      <c r="J6" s="131"/>
      <c r="K6" s="131"/>
      <c r="L6" s="132"/>
    </row>
    <row r="7" spans="1:12" ht="27" customHeight="1" x14ac:dyDescent="0.2">
      <c r="A7" s="124"/>
      <c r="B7" s="125"/>
      <c r="C7" s="125"/>
      <c r="D7" s="125"/>
      <c r="E7" s="126"/>
      <c r="F7" s="124"/>
      <c r="G7" s="125"/>
      <c r="H7" s="126"/>
      <c r="I7" s="133"/>
      <c r="J7" s="134"/>
      <c r="K7" s="134"/>
      <c r="L7" s="135"/>
    </row>
    <row r="8" spans="1:12" ht="15.75" x14ac:dyDescent="0.25">
      <c r="A8" s="64"/>
      <c r="B8" s="64"/>
      <c r="C8" s="64"/>
      <c r="D8" s="64"/>
      <c r="E8" s="64"/>
      <c r="F8" s="64"/>
      <c r="G8" s="64"/>
      <c r="H8" s="64"/>
      <c r="I8" s="65"/>
      <c r="J8" s="65"/>
      <c r="K8" s="65"/>
      <c r="L8" s="65"/>
    </row>
    <row r="9" spans="1:12" ht="15.75" customHeight="1" x14ac:dyDescent="0.2">
      <c r="A9" s="110" t="s">
        <v>38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.75" x14ac:dyDescent="0.25">
      <c r="A10" s="64"/>
      <c r="B10" s="64"/>
      <c r="C10" s="64"/>
      <c r="D10" s="64"/>
      <c r="E10" s="64"/>
      <c r="F10" s="64"/>
      <c r="G10" s="64"/>
      <c r="H10" s="64"/>
      <c r="I10" s="65"/>
      <c r="J10" s="65"/>
    </row>
    <row r="11" spans="1:12" ht="15.75" x14ac:dyDescent="0.25">
      <c r="A11" s="64"/>
      <c r="B11" s="64"/>
      <c r="C11" s="64"/>
      <c r="D11" s="64" t="s">
        <v>105</v>
      </c>
      <c r="E11" s="64"/>
      <c r="F11" s="64"/>
      <c r="G11" s="64"/>
      <c r="H11" s="64"/>
      <c r="I11" s="65"/>
      <c r="J11" s="65"/>
    </row>
    <row r="12" spans="1:12" ht="15.75" x14ac:dyDescent="0.25">
      <c r="A12" s="64"/>
      <c r="B12" s="64"/>
      <c r="C12" s="64"/>
      <c r="D12" s="64"/>
      <c r="E12" s="64"/>
      <c r="F12" s="64"/>
      <c r="G12" s="64"/>
      <c r="H12" s="64"/>
      <c r="I12" s="65"/>
      <c r="J12" s="65"/>
    </row>
    <row r="13" spans="1:12" x14ac:dyDescent="0.2">
      <c r="A13" s="1"/>
      <c r="B13" s="1"/>
      <c r="C13" s="1"/>
      <c r="D13" s="1"/>
      <c r="E13" s="1"/>
      <c r="F13" s="2"/>
      <c r="G13" s="1"/>
      <c r="H13" s="1"/>
      <c r="I13" s="1"/>
      <c r="J13" s="3"/>
      <c r="K13" s="1"/>
    </row>
    <row r="14" spans="1:12" x14ac:dyDescent="0.2">
      <c r="A14" s="105" t="s">
        <v>0</v>
      </c>
      <c r="B14" s="105"/>
      <c r="C14" s="105"/>
      <c r="D14" s="105"/>
      <c r="E14" s="105"/>
      <c r="F14" s="105"/>
      <c r="G14" s="105"/>
      <c r="H14" s="106" t="s">
        <v>1</v>
      </c>
      <c r="I14" s="107"/>
      <c r="J14" s="107"/>
      <c r="K14" s="108"/>
      <c r="L14" s="5" t="s">
        <v>2</v>
      </c>
    </row>
    <row r="15" spans="1:12" x14ac:dyDescent="0.2">
      <c r="A15" s="109" t="s">
        <v>38</v>
      </c>
      <c r="B15" s="109"/>
      <c r="C15" s="109"/>
      <c r="D15" s="109"/>
      <c r="E15" s="109"/>
      <c r="F15" s="109"/>
      <c r="G15" s="109"/>
      <c r="H15" s="114">
        <f>B40-(B41*B43/B42)</f>
        <v>3070</v>
      </c>
      <c r="I15" s="115"/>
      <c r="J15" s="115"/>
      <c r="K15" s="116"/>
      <c r="L15" s="6" t="s">
        <v>3</v>
      </c>
    </row>
    <row r="16" spans="1:12" x14ac:dyDescent="0.2">
      <c r="A16" s="7"/>
      <c r="B16" s="1"/>
      <c r="C16" s="1"/>
      <c r="D16" s="1"/>
      <c r="E16" s="1"/>
      <c r="F16" s="1"/>
      <c r="G16" s="1"/>
      <c r="H16" s="1"/>
      <c r="I16" s="1"/>
      <c r="J16" s="3"/>
      <c r="K16" s="3"/>
      <c r="L16" s="1"/>
    </row>
    <row r="17" spans="1:12" ht="25.5" x14ac:dyDescent="0.2">
      <c r="A17" s="117" t="s">
        <v>4</v>
      </c>
      <c r="B17" s="111" t="s">
        <v>5</v>
      </c>
      <c r="C17" s="112"/>
      <c r="D17" s="112"/>
      <c r="E17" s="113"/>
      <c r="F17" s="103" t="s">
        <v>6</v>
      </c>
      <c r="G17" s="103" t="s">
        <v>7</v>
      </c>
      <c r="H17" s="103" t="s">
        <v>8</v>
      </c>
      <c r="I17" s="104"/>
      <c r="J17" s="67" t="s">
        <v>9</v>
      </c>
      <c r="K17" s="67" t="s">
        <v>10</v>
      </c>
      <c r="L17" s="103" t="s">
        <v>85</v>
      </c>
    </row>
    <row r="18" spans="1:12" ht="25.5" x14ac:dyDescent="0.2">
      <c r="A18" s="117"/>
      <c r="B18" s="111" t="s">
        <v>11</v>
      </c>
      <c r="C18" s="113"/>
      <c r="D18" s="68" t="s">
        <v>12</v>
      </c>
      <c r="E18" s="69" t="s">
        <v>2</v>
      </c>
      <c r="F18" s="103"/>
      <c r="G18" s="103"/>
      <c r="H18" s="70" t="s">
        <v>13</v>
      </c>
      <c r="I18" s="70" t="s">
        <v>2</v>
      </c>
      <c r="J18" s="71" t="s">
        <v>14</v>
      </c>
      <c r="K18" s="72" t="s">
        <v>15</v>
      </c>
      <c r="L18" s="103"/>
    </row>
    <row r="19" spans="1:12" ht="14.25" x14ac:dyDescent="0.25">
      <c r="A19" s="8" t="s">
        <v>16</v>
      </c>
      <c r="B19" s="136" t="s">
        <v>17</v>
      </c>
      <c r="C19" s="137"/>
      <c r="D19" s="73">
        <v>66.28</v>
      </c>
      <c r="E19" s="12" t="s">
        <v>3</v>
      </c>
      <c r="F19" s="13" t="s">
        <v>18</v>
      </c>
      <c r="G19" s="14">
        <v>1</v>
      </c>
      <c r="H19" s="15">
        <v>1</v>
      </c>
      <c r="I19" s="16" t="s">
        <v>19</v>
      </c>
      <c r="J19" s="11">
        <f>D19/G19*H19</f>
        <v>66.28</v>
      </c>
      <c r="K19" s="17" t="s">
        <v>20</v>
      </c>
      <c r="L19" s="18">
        <f>(J19^2/$A$37^2)*100</f>
        <v>100</v>
      </c>
    </row>
    <row r="20" spans="1:12" ht="14.25" x14ac:dyDescent="0.25">
      <c r="A20" s="8" t="s">
        <v>21</v>
      </c>
      <c r="B20" s="136" t="s">
        <v>22</v>
      </c>
      <c r="C20" s="137"/>
      <c r="D20" s="74">
        <v>10</v>
      </c>
      <c r="E20" s="20" t="s">
        <v>23</v>
      </c>
      <c r="F20" s="13" t="s">
        <v>24</v>
      </c>
      <c r="G20" s="14">
        <f>SQRT(3)</f>
        <v>1.7320508075688772</v>
      </c>
      <c r="H20" s="15">
        <f>-B43/B42</f>
        <v>0</v>
      </c>
      <c r="I20" s="16" t="s">
        <v>25</v>
      </c>
      <c r="J20" s="11">
        <f>D20/G20*H20</f>
        <v>0</v>
      </c>
      <c r="K20" s="17" t="s">
        <v>20</v>
      </c>
      <c r="L20" s="18">
        <f>(J20^2/$A$37^2)*100</f>
        <v>0</v>
      </c>
    </row>
    <row r="21" spans="1:12" ht="14.25" x14ac:dyDescent="0.25">
      <c r="A21" s="8" t="s">
        <v>26</v>
      </c>
      <c r="B21" s="136" t="s">
        <v>27</v>
      </c>
      <c r="C21" s="137"/>
      <c r="D21" s="74">
        <f>SQRT(B43)</f>
        <v>0</v>
      </c>
      <c r="E21" s="12" t="s">
        <v>3</v>
      </c>
      <c r="F21" s="13" t="s">
        <v>18</v>
      </c>
      <c r="G21" s="14">
        <v>1</v>
      </c>
      <c r="H21" s="15">
        <f>-B41/B42</f>
        <v>-0.27734169999999997</v>
      </c>
      <c r="I21" s="16" t="s">
        <v>19</v>
      </c>
      <c r="J21" s="11">
        <f>D21/G21*H21</f>
        <v>0</v>
      </c>
      <c r="K21" s="17" t="s">
        <v>20</v>
      </c>
      <c r="L21" s="18">
        <f>(J21^2/$A$37^2)*100</f>
        <v>0</v>
      </c>
    </row>
    <row r="22" spans="1:12" ht="14.25" x14ac:dyDescent="0.25">
      <c r="A22" s="8" t="s">
        <v>28</v>
      </c>
      <c r="B22" s="136" t="s">
        <v>29</v>
      </c>
      <c r="C22" s="137"/>
      <c r="D22" s="74">
        <v>10</v>
      </c>
      <c r="E22" s="12" t="s">
        <v>3</v>
      </c>
      <c r="F22" s="13" t="s">
        <v>24</v>
      </c>
      <c r="G22" s="14">
        <f>SQRT(3)</f>
        <v>1.7320508075688772</v>
      </c>
      <c r="H22" s="15">
        <f>-B41*B43/(B42^2)</f>
        <v>0</v>
      </c>
      <c r="I22" s="16" t="s">
        <v>19</v>
      </c>
      <c r="J22" s="11">
        <f>D22/G22*H22</f>
        <v>0</v>
      </c>
      <c r="K22" s="17" t="s">
        <v>20</v>
      </c>
      <c r="L22" s="18">
        <f>(J22^2/$A$37^2)*100</f>
        <v>0</v>
      </c>
    </row>
    <row r="23" spans="1:12" x14ac:dyDescent="0.2">
      <c r="A23" s="8"/>
      <c r="B23" s="136"/>
      <c r="C23" s="137"/>
      <c r="D23" s="19"/>
      <c r="E23" s="20"/>
      <c r="F23" s="13"/>
      <c r="G23" s="14"/>
      <c r="H23" s="15"/>
      <c r="I23" s="16"/>
      <c r="J23" s="11"/>
      <c r="K23" s="17"/>
      <c r="L23" s="18"/>
    </row>
    <row r="24" spans="1:12" x14ac:dyDescent="0.2">
      <c r="A24" s="8"/>
      <c r="B24" s="136"/>
      <c r="C24" s="137"/>
      <c r="D24" s="11"/>
      <c r="E24" s="20"/>
      <c r="F24" s="13"/>
      <c r="G24" s="14"/>
      <c r="H24" s="15"/>
      <c r="I24" s="16"/>
      <c r="J24" s="11"/>
      <c r="K24" s="17"/>
      <c r="L24" s="18"/>
    </row>
    <row r="25" spans="1:12" x14ac:dyDescent="0.2">
      <c r="A25" s="8"/>
      <c r="B25" s="136"/>
      <c r="C25" s="137"/>
      <c r="D25" s="19"/>
      <c r="E25" s="20"/>
      <c r="F25" s="13"/>
      <c r="G25" s="14"/>
      <c r="H25" s="15"/>
      <c r="I25" s="16"/>
      <c r="J25" s="11"/>
      <c r="K25" s="17"/>
      <c r="L25" s="18"/>
    </row>
    <row r="26" spans="1:12" x14ac:dyDescent="0.2">
      <c r="A26" s="8"/>
      <c r="B26" s="136"/>
      <c r="C26" s="137"/>
      <c r="D26" s="19"/>
      <c r="E26" s="20"/>
      <c r="F26" s="13"/>
      <c r="G26" s="14"/>
      <c r="H26" s="15"/>
      <c r="I26" s="16"/>
      <c r="J26" s="11"/>
      <c r="K26" s="17"/>
      <c r="L26" s="18"/>
    </row>
    <row r="27" spans="1:12" x14ac:dyDescent="0.2">
      <c r="A27" s="8"/>
      <c r="B27" s="136"/>
      <c r="C27" s="137"/>
      <c r="D27" s="11"/>
      <c r="E27" s="20"/>
      <c r="F27" s="13"/>
      <c r="G27" s="14"/>
      <c r="H27" s="15"/>
      <c r="I27" s="16"/>
      <c r="J27" s="11"/>
      <c r="K27" s="17"/>
      <c r="L27" s="18"/>
    </row>
    <row r="28" spans="1:12" x14ac:dyDescent="0.2">
      <c r="A28" s="8"/>
      <c r="B28" s="9"/>
      <c r="C28" s="10"/>
      <c r="D28" s="11"/>
      <c r="E28" s="20"/>
      <c r="F28" s="13"/>
      <c r="G28" s="14"/>
      <c r="H28" s="15"/>
      <c r="I28" s="16"/>
      <c r="J28" s="11"/>
      <c r="K28" s="17"/>
      <c r="L28" s="18"/>
    </row>
    <row r="29" spans="1:12" x14ac:dyDescent="0.2">
      <c r="A29" s="8"/>
      <c r="B29" s="136"/>
      <c r="C29" s="137"/>
      <c r="D29" s="11"/>
      <c r="E29" s="20"/>
      <c r="F29" s="13"/>
      <c r="G29" s="14"/>
      <c r="H29" s="15"/>
      <c r="I29" s="16"/>
      <c r="J29" s="11"/>
      <c r="K29" s="17"/>
      <c r="L29" s="18"/>
    </row>
    <row r="30" spans="1:12" x14ac:dyDescent="0.2">
      <c r="A30" s="22"/>
      <c r="B30" s="158"/>
      <c r="C30" s="159"/>
      <c r="D30" s="23"/>
      <c r="E30" s="24"/>
      <c r="F30" s="25"/>
      <c r="G30" s="26"/>
      <c r="H30" s="27"/>
      <c r="I30" s="28"/>
      <c r="J30" s="29"/>
      <c r="K30" s="30"/>
      <c r="L30" s="18" t="str">
        <f>IF(J30="","",((J30^2/$L$34)*100))</f>
        <v/>
      </c>
    </row>
    <row r="31" spans="1:12" x14ac:dyDescent="0.2">
      <c r="A31" s="22"/>
      <c r="B31" s="158"/>
      <c r="C31" s="159"/>
      <c r="D31" s="29"/>
      <c r="E31" s="24"/>
      <c r="F31" s="25"/>
      <c r="G31" s="21"/>
      <c r="H31" s="27"/>
      <c r="I31" s="28"/>
      <c r="J31" s="29"/>
      <c r="K31" s="30"/>
      <c r="L31" s="18" t="str">
        <f>IF(J31="","",((J31^2/$L$34)*100))</f>
        <v/>
      </c>
    </row>
    <row r="32" spans="1:12" x14ac:dyDescent="0.2">
      <c r="A32" s="8"/>
      <c r="B32" s="136"/>
      <c r="C32" s="137"/>
      <c r="D32" s="19"/>
      <c r="E32" s="20"/>
      <c r="F32" s="13"/>
      <c r="G32" s="31"/>
      <c r="H32" s="15"/>
      <c r="I32" s="16"/>
      <c r="J32" s="11"/>
      <c r="K32" s="17"/>
      <c r="L32" s="18" t="str">
        <f>IF(J32="","",((J32^2/$L$34)*100))</f>
        <v/>
      </c>
    </row>
    <row r="33" spans="1:12" x14ac:dyDescent="0.2">
      <c r="A33" s="8"/>
      <c r="B33" s="136"/>
      <c r="C33" s="137"/>
      <c r="D33" s="11"/>
      <c r="E33" s="20"/>
      <c r="F33" s="13"/>
      <c r="G33" s="14"/>
      <c r="H33" s="15"/>
      <c r="I33" s="16"/>
      <c r="J33" s="11"/>
      <c r="K33" s="17"/>
      <c r="L33" s="18" t="str">
        <f>IF(J33="","",((J33^2/$L$34)*100))</f>
        <v/>
      </c>
    </row>
    <row r="34" spans="1:12" x14ac:dyDescent="0.2">
      <c r="A34" s="32"/>
      <c r="B34" s="32"/>
      <c r="C34" s="32"/>
      <c r="D34" s="33"/>
      <c r="E34" s="33"/>
      <c r="F34" s="34"/>
      <c r="G34" s="35"/>
      <c r="H34" s="35"/>
      <c r="I34" s="35"/>
      <c r="J34" s="33"/>
      <c r="K34" s="36"/>
      <c r="L34" s="37">
        <f>SUMSQ(J19:J33)</f>
        <v>4393.0384000000004</v>
      </c>
    </row>
    <row r="35" spans="1:12" x14ac:dyDescent="0.2">
      <c r="A35" s="154" t="s">
        <v>30</v>
      </c>
      <c r="B35" s="155"/>
      <c r="C35" s="160" t="s">
        <v>6</v>
      </c>
      <c r="D35" s="150" t="s">
        <v>31</v>
      </c>
      <c r="E35" s="151"/>
      <c r="F35" s="154" t="s">
        <v>32</v>
      </c>
      <c r="G35" s="155"/>
      <c r="H35" s="138" t="s">
        <v>33</v>
      </c>
      <c r="I35" s="139"/>
      <c r="J35" s="140"/>
      <c r="K35" s="144" t="s">
        <v>2</v>
      </c>
      <c r="L35" s="145"/>
    </row>
    <row r="36" spans="1:12" x14ac:dyDescent="0.2">
      <c r="A36" s="156"/>
      <c r="B36" s="157"/>
      <c r="C36" s="161"/>
      <c r="D36" s="152"/>
      <c r="E36" s="153"/>
      <c r="F36" s="156"/>
      <c r="G36" s="157"/>
      <c r="H36" s="141"/>
      <c r="I36" s="142"/>
      <c r="J36" s="143"/>
      <c r="K36" s="146"/>
      <c r="L36" s="147"/>
    </row>
    <row r="37" spans="1:12" x14ac:dyDescent="0.2">
      <c r="A37" s="148">
        <f>SQRT(SUMSQ(J19:J33))</f>
        <v>66.28</v>
      </c>
      <c r="B37" s="149"/>
      <c r="C37" s="38" t="s">
        <v>18</v>
      </c>
      <c r="D37" s="165" t="str">
        <f>IF(M25=0,"Infinito",(welch(A37,J19:J33,K19:K33)))</f>
        <v>Infinito</v>
      </c>
      <c r="E37" s="166"/>
      <c r="F37" s="167">
        <f>(ROUND(IF((OR(D37&gt;1000000,D37="infinito")),2,(TINV(1-0.9545,D37))),2))</f>
        <v>2</v>
      </c>
      <c r="G37" s="168"/>
      <c r="H37" s="148">
        <f>A37*F37</f>
        <v>132.56</v>
      </c>
      <c r="I37" s="149"/>
      <c r="J37" s="169"/>
      <c r="K37" s="170" t="s">
        <v>3</v>
      </c>
      <c r="L37" s="169"/>
    </row>
    <row r="38" spans="1:12" x14ac:dyDescent="0.2">
      <c r="A38" s="39"/>
      <c r="B38" s="39"/>
      <c r="C38" s="39"/>
      <c r="D38" s="40"/>
      <c r="E38" s="40"/>
      <c r="F38" s="41"/>
      <c r="G38" s="42"/>
      <c r="H38" s="42"/>
      <c r="I38" s="43"/>
      <c r="J38" s="40"/>
      <c r="K38" s="44"/>
      <c r="L38" s="45"/>
    </row>
    <row r="39" spans="1:12" x14ac:dyDescent="0.2">
      <c r="A39" s="171" t="s">
        <v>39</v>
      </c>
      <c r="B39" s="172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50" t="s">
        <v>34</v>
      </c>
      <c r="B40" s="75">
        <v>3070</v>
      </c>
      <c r="C40" s="47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46" t="s">
        <v>35</v>
      </c>
      <c r="B41" s="75">
        <v>83202.509999999995</v>
      </c>
      <c r="C41" s="48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46" t="s">
        <v>36</v>
      </c>
      <c r="B42" s="75">
        <v>300000</v>
      </c>
      <c r="C42" s="48"/>
      <c r="D42" s="1"/>
      <c r="E42" s="1"/>
      <c r="F42" s="1"/>
      <c r="G42" s="1"/>
      <c r="I42" s="1"/>
      <c r="J42" s="1"/>
      <c r="K42" s="1"/>
      <c r="L42" s="1"/>
    </row>
    <row r="43" spans="1:12" x14ac:dyDescent="0.2">
      <c r="A43" s="46" t="s">
        <v>37</v>
      </c>
      <c r="B43" s="75">
        <v>0</v>
      </c>
      <c r="C43" s="49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">
      <c r="A45" s="173" t="s">
        <v>108</v>
      </c>
      <c r="B45" s="174"/>
      <c r="C45" s="174"/>
      <c r="D45" s="174"/>
      <c r="E45" s="174"/>
      <c r="F45" s="175"/>
      <c r="G45" s="94" t="s">
        <v>106</v>
      </c>
      <c r="H45" s="95"/>
      <c r="I45" s="96"/>
      <c r="J45" s="162" t="s">
        <v>112</v>
      </c>
      <c r="K45" s="163"/>
      <c r="L45" s="164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sheetProtection sheet="1" objects="1" scenarios="1"/>
  <mergeCells count="44">
    <mergeCell ref="B19:C19"/>
    <mergeCell ref="B20:C20"/>
    <mergeCell ref="B21:C21"/>
    <mergeCell ref="B22:C22"/>
    <mergeCell ref="B18:C18"/>
    <mergeCell ref="J45:L45"/>
    <mergeCell ref="B32:C32"/>
    <mergeCell ref="D37:E37"/>
    <mergeCell ref="F37:G37"/>
    <mergeCell ref="H37:J37"/>
    <mergeCell ref="K37:L37"/>
    <mergeCell ref="A39:B39"/>
    <mergeCell ref="A45:F45"/>
    <mergeCell ref="B23:C23"/>
    <mergeCell ref="H35:J36"/>
    <mergeCell ref="K35:L36"/>
    <mergeCell ref="A37:B37"/>
    <mergeCell ref="B24:C24"/>
    <mergeCell ref="D35:E36"/>
    <mergeCell ref="F35:G36"/>
    <mergeCell ref="B25:C25"/>
    <mergeCell ref="B26:C26"/>
    <mergeCell ref="B27:C27"/>
    <mergeCell ref="B29:C29"/>
    <mergeCell ref="B31:C31"/>
    <mergeCell ref="B30:C30"/>
    <mergeCell ref="B33:C33"/>
    <mergeCell ref="A35:B36"/>
    <mergeCell ref="C35:C36"/>
    <mergeCell ref="A1:L2"/>
    <mergeCell ref="G17:G18"/>
    <mergeCell ref="H17:I17"/>
    <mergeCell ref="L17:L18"/>
    <mergeCell ref="A14:G14"/>
    <mergeCell ref="H14:K14"/>
    <mergeCell ref="A15:G15"/>
    <mergeCell ref="A9:L9"/>
    <mergeCell ref="B17:E17"/>
    <mergeCell ref="F17:F18"/>
    <mergeCell ref="H15:K15"/>
    <mergeCell ref="A17:A18"/>
    <mergeCell ref="A4:E7"/>
    <mergeCell ref="F4:H7"/>
    <mergeCell ref="I4:L7"/>
  </mergeCells>
  <phoneticPr fontId="18" type="noConversion"/>
  <dataValidations count="1">
    <dataValidation type="list" allowBlank="1" showInputMessage="1" showErrorMessage="1" sqref="C37 F19:F34">
      <formula1>$IS$4:$IS$13</formula1>
    </dataValidation>
  </dataValidations>
  <pageMargins left="0.78740157499999996" right="0.78740157499999996" top="0.984251969" bottom="0.984251969" header="0.49212598499999999" footer="0.49212598499999999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showGridLines="0" topLeftCell="A19" workbookViewId="0">
      <selection activeCell="J12" sqref="J12"/>
    </sheetView>
  </sheetViews>
  <sheetFormatPr defaultRowHeight="12.75" x14ac:dyDescent="0.2"/>
  <cols>
    <col min="2" max="2" width="10.140625" bestFit="1" customWidth="1"/>
    <col min="3" max="3" width="28.5703125" customWidth="1"/>
    <col min="5" max="5" width="8.5703125" customWidth="1"/>
    <col min="6" max="6" width="15" customWidth="1"/>
    <col min="8" max="8" width="9.5703125" bestFit="1" customWidth="1"/>
    <col min="10" max="10" width="11.5703125" customWidth="1"/>
    <col min="11" max="11" width="10.42578125" customWidth="1"/>
    <col min="12" max="12" width="13.140625" customWidth="1"/>
  </cols>
  <sheetData>
    <row r="1" spans="1:12" ht="9.75" customHeight="1" x14ac:dyDescent="0.2">
      <c r="A1" s="186" t="s">
        <v>113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ht="24.95" customHeight="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x14ac:dyDescent="0.2">
      <c r="B3" s="61"/>
      <c r="C3" s="61"/>
      <c r="D3" s="61"/>
      <c r="E3" s="61"/>
      <c r="F3" s="61"/>
      <c r="G3" s="61"/>
      <c r="I3" s="61"/>
      <c r="J3" s="62"/>
      <c r="K3" s="62"/>
      <c r="L3" s="63"/>
    </row>
    <row r="4" spans="1:12" ht="12.75" customHeight="1" x14ac:dyDescent="0.2">
      <c r="A4" s="118" t="s">
        <v>110</v>
      </c>
      <c r="B4" s="119"/>
      <c r="C4" s="119"/>
      <c r="D4" s="119"/>
      <c r="E4" s="120"/>
      <c r="F4" s="118" t="s">
        <v>107</v>
      </c>
      <c r="G4" s="119"/>
      <c r="H4" s="120"/>
      <c r="I4" s="127"/>
      <c r="J4" s="128"/>
      <c r="K4" s="128"/>
      <c r="L4" s="129"/>
    </row>
    <row r="5" spans="1:12" ht="12.75" customHeight="1" x14ac:dyDescent="0.2">
      <c r="A5" s="121"/>
      <c r="B5" s="122"/>
      <c r="C5" s="122"/>
      <c r="D5" s="122"/>
      <c r="E5" s="123"/>
      <c r="F5" s="121"/>
      <c r="G5" s="122"/>
      <c r="H5" s="123"/>
      <c r="I5" s="130"/>
      <c r="J5" s="131"/>
      <c r="K5" s="131"/>
      <c r="L5" s="132"/>
    </row>
    <row r="6" spans="1:12" ht="12.75" customHeight="1" x14ac:dyDescent="0.2">
      <c r="A6" s="121"/>
      <c r="B6" s="122"/>
      <c r="C6" s="122"/>
      <c r="D6" s="122"/>
      <c r="E6" s="123"/>
      <c r="F6" s="121"/>
      <c r="G6" s="122"/>
      <c r="H6" s="123"/>
      <c r="I6" s="130"/>
      <c r="J6" s="131"/>
      <c r="K6" s="131"/>
      <c r="L6" s="132"/>
    </row>
    <row r="7" spans="1:12" ht="12.75" customHeight="1" x14ac:dyDescent="0.2">
      <c r="A7" s="124"/>
      <c r="B7" s="125"/>
      <c r="C7" s="125"/>
      <c r="D7" s="125"/>
      <c r="E7" s="126"/>
      <c r="F7" s="124"/>
      <c r="G7" s="125"/>
      <c r="H7" s="126"/>
      <c r="I7" s="133"/>
      <c r="J7" s="134"/>
      <c r="K7" s="134"/>
      <c r="L7" s="135"/>
    </row>
    <row r="8" spans="1:12" ht="12.75" customHeight="1" x14ac:dyDescent="0.25">
      <c r="A8" s="64"/>
      <c r="B8" s="64"/>
      <c r="C8" s="64"/>
      <c r="D8" s="64"/>
      <c r="E8" s="64"/>
      <c r="F8" s="64"/>
      <c r="G8" s="64"/>
      <c r="H8" s="64"/>
      <c r="I8" s="65"/>
      <c r="J8" s="65"/>
      <c r="K8" s="65"/>
      <c r="L8" s="65"/>
    </row>
    <row r="9" spans="1:12" ht="18" customHeight="1" x14ac:dyDescent="0.2">
      <c r="A9" s="122" t="s">
        <v>109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8.75" customHeight="1" x14ac:dyDescent="0.2">
      <c r="A10" s="1"/>
      <c r="B10" s="1"/>
      <c r="C10" s="1"/>
      <c r="D10" s="1"/>
      <c r="E10" s="1"/>
      <c r="F10" s="2"/>
      <c r="G10" s="1"/>
      <c r="H10" s="1"/>
      <c r="I10" s="1"/>
      <c r="J10" s="3"/>
      <c r="K10" s="1"/>
      <c r="L10" s="66"/>
    </row>
    <row r="11" spans="1:12" ht="18" x14ac:dyDescent="0.2">
      <c r="A11" s="1"/>
      <c r="B11" s="1"/>
      <c r="C11" s="192" t="s">
        <v>105</v>
      </c>
      <c r="D11" s="60"/>
      <c r="E11" s="60"/>
      <c r="F11" s="60"/>
      <c r="G11" s="60"/>
      <c r="H11" s="60"/>
      <c r="I11" s="60"/>
      <c r="J11" s="4"/>
      <c r="K11" s="1"/>
      <c r="L11" s="66"/>
    </row>
    <row r="12" spans="1:12" ht="18" x14ac:dyDescent="0.2">
      <c r="A12" s="1"/>
      <c r="B12" s="1"/>
      <c r="C12" s="192"/>
      <c r="D12" s="60"/>
      <c r="E12" s="60"/>
      <c r="F12" s="60"/>
      <c r="G12" s="60"/>
      <c r="H12" s="60"/>
      <c r="I12" s="60"/>
      <c r="J12" s="4"/>
      <c r="K12" s="1"/>
      <c r="L12" s="66"/>
    </row>
    <row r="13" spans="1:12" x14ac:dyDescent="0.2">
      <c r="A13" s="1"/>
      <c r="B13" s="1"/>
      <c r="C13" s="1"/>
      <c r="D13" s="1"/>
      <c r="E13" s="1"/>
      <c r="F13" s="2"/>
      <c r="G13" s="1"/>
      <c r="H13" s="1"/>
      <c r="I13" s="1"/>
      <c r="J13" s="3"/>
      <c r="K13" s="1"/>
      <c r="L13" s="66"/>
    </row>
    <row r="14" spans="1:12" x14ac:dyDescent="0.2">
      <c r="A14" s="1"/>
      <c r="B14" s="1"/>
      <c r="C14" s="1"/>
      <c r="D14" s="1"/>
      <c r="E14" s="1"/>
      <c r="F14" s="2"/>
      <c r="G14" s="1"/>
      <c r="H14" s="1"/>
      <c r="I14" s="1"/>
      <c r="J14" s="3"/>
      <c r="K14" s="1"/>
      <c r="L14" s="3"/>
    </row>
    <row r="15" spans="1:12" x14ac:dyDescent="0.2">
      <c r="A15" s="212" t="s">
        <v>0</v>
      </c>
      <c r="B15" s="213"/>
      <c r="C15" s="213"/>
      <c r="D15" s="213"/>
      <c r="E15" s="213"/>
      <c r="F15" s="213"/>
      <c r="G15" s="214"/>
      <c r="H15" s="199" t="s">
        <v>1</v>
      </c>
      <c r="I15" s="204"/>
      <c r="J15" s="204"/>
      <c r="K15" s="200"/>
      <c r="L15" s="82" t="s">
        <v>2</v>
      </c>
    </row>
    <row r="16" spans="1:12" ht="14.25" x14ac:dyDescent="0.2">
      <c r="A16" s="205" t="s">
        <v>103</v>
      </c>
      <c r="B16" s="206"/>
      <c r="C16" s="206"/>
      <c r="D16" s="206"/>
      <c r="E16" s="206"/>
      <c r="F16" s="206"/>
      <c r="G16" s="207"/>
      <c r="H16" s="208">
        <f>B42/(PRODUCT(B43:B51))</f>
        <v>48.311171365059138</v>
      </c>
      <c r="I16" s="209"/>
      <c r="J16" s="209"/>
      <c r="K16" s="210"/>
      <c r="L16" s="93" t="s">
        <v>19</v>
      </c>
    </row>
    <row r="17" spans="1:12" x14ac:dyDescent="0.2">
      <c r="A17" s="7"/>
      <c r="B17" s="1"/>
      <c r="C17" s="1"/>
      <c r="D17" s="1"/>
      <c r="E17" s="1"/>
      <c r="F17" s="1"/>
      <c r="G17" s="1"/>
      <c r="H17" s="1"/>
      <c r="I17" s="1"/>
      <c r="J17" s="3"/>
      <c r="K17" s="3"/>
      <c r="L17" s="1"/>
    </row>
    <row r="18" spans="1:12" ht="25.5" x14ac:dyDescent="0.2">
      <c r="A18" s="211" t="s">
        <v>4</v>
      </c>
      <c r="B18" s="199" t="s">
        <v>5</v>
      </c>
      <c r="C18" s="204"/>
      <c r="D18" s="204"/>
      <c r="E18" s="200"/>
      <c r="F18" s="185" t="s">
        <v>6</v>
      </c>
      <c r="G18" s="185" t="s">
        <v>7</v>
      </c>
      <c r="H18" s="185" t="s">
        <v>95</v>
      </c>
      <c r="I18" s="198"/>
      <c r="J18" s="76" t="s">
        <v>9</v>
      </c>
      <c r="K18" s="76" t="s">
        <v>10</v>
      </c>
      <c r="L18" s="185" t="s">
        <v>85</v>
      </c>
    </row>
    <row r="19" spans="1:12" ht="26.25" x14ac:dyDescent="0.2">
      <c r="A19" s="211"/>
      <c r="B19" s="199" t="s">
        <v>11</v>
      </c>
      <c r="C19" s="200"/>
      <c r="D19" s="77" t="s">
        <v>12</v>
      </c>
      <c r="E19" s="78" t="s">
        <v>2</v>
      </c>
      <c r="F19" s="185"/>
      <c r="G19" s="185"/>
      <c r="H19" s="79" t="s">
        <v>13</v>
      </c>
      <c r="I19" s="79" t="s">
        <v>2</v>
      </c>
      <c r="J19" s="80" t="s">
        <v>96</v>
      </c>
      <c r="K19" s="81" t="s">
        <v>97</v>
      </c>
      <c r="L19" s="185"/>
    </row>
    <row r="20" spans="1:12" ht="14.25" x14ac:dyDescent="0.25">
      <c r="A20" s="8" t="s">
        <v>40</v>
      </c>
      <c r="B20" s="136" t="s">
        <v>41</v>
      </c>
      <c r="C20" s="137"/>
      <c r="D20" s="16">
        <f>'Inc. da Área'!H37</f>
        <v>132.56</v>
      </c>
      <c r="E20" s="12" t="s">
        <v>3</v>
      </c>
      <c r="F20" s="13" t="s">
        <v>42</v>
      </c>
      <c r="G20" s="14">
        <f>'Inc. da Área'!F37</f>
        <v>2</v>
      </c>
      <c r="H20" s="15">
        <f>1/($B$43*$B$44*$B$45*$B$46*$B$47*$B$48*$B$49*$B$50*$B$51)</f>
        <v>1.5736537903928059E-2</v>
      </c>
      <c r="I20" s="16" t="s">
        <v>19</v>
      </c>
      <c r="J20" s="11">
        <f>IF(D20="","",D20/G20*H20)</f>
        <v>1.0430177322723517</v>
      </c>
      <c r="K20" s="17" t="str">
        <f>[1]Incerteza_N!D29</f>
        <v>Infinito</v>
      </c>
      <c r="L20" s="58">
        <f>J20^2/$A$38^2</f>
        <v>0.73977630243916748</v>
      </c>
    </row>
    <row r="21" spans="1:12" ht="14.25" x14ac:dyDescent="0.25">
      <c r="A21" s="8" t="s">
        <v>21</v>
      </c>
      <c r="B21" s="136" t="s">
        <v>43</v>
      </c>
      <c r="C21" s="137"/>
      <c r="D21" s="74">
        <v>1</v>
      </c>
      <c r="E21" s="20" t="s">
        <v>23</v>
      </c>
      <c r="F21" s="13" t="s">
        <v>24</v>
      </c>
      <c r="G21" s="14">
        <f>SQRT(3)</f>
        <v>1.7320508075688772</v>
      </c>
      <c r="H21" s="15">
        <f>-$B$42/($B$43^2*$B$44*$B$45*$B$46*$B$47*$B$48*$B$49*$B$50*$B$51)</f>
        <v>-5.8064560029570189E-4</v>
      </c>
      <c r="I21" s="16" t="s">
        <v>25</v>
      </c>
      <c r="J21" s="11">
        <f t="shared" ref="J21:J30" si="0">IF(D21="","",D21/G21*H21)</f>
        <v>-3.3523589363449537E-4</v>
      </c>
      <c r="K21" s="17" t="s">
        <v>20</v>
      </c>
      <c r="L21" s="58">
        <f t="shared" ref="L21:L34" si="1">J21^2/$A$38^2</f>
        <v>7.6421939608023025E-8</v>
      </c>
    </row>
    <row r="22" spans="1:12" ht="14.25" x14ac:dyDescent="0.25">
      <c r="A22" s="8" t="s">
        <v>44</v>
      </c>
      <c r="B22" s="136" t="s">
        <v>45</v>
      </c>
      <c r="C22" s="137"/>
      <c r="D22" s="92">
        <v>3.8000000000000002E-4</v>
      </c>
      <c r="E22" s="12" t="s">
        <v>3</v>
      </c>
      <c r="F22" s="13" t="s">
        <v>24</v>
      </c>
      <c r="G22" s="55">
        <v>1</v>
      </c>
      <c r="H22" s="15">
        <f>-$B$42/($B$43*$B$44^2*$B$45*$B$46*$B$47*$B$48*$B$49*$B$50*$B$51)</f>
        <v>-1618.0231682432031</v>
      </c>
      <c r="I22" s="16" t="s">
        <v>19</v>
      </c>
      <c r="J22" s="11">
        <f t="shared" si="0"/>
        <v>-0.61484880393241725</v>
      </c>
      <c r="K22" s="17" t="s">
        <v>20</v>
      </c>
      <c r="L22" s="58">
        <f t="shared" si="1"/>
        <v>0.25707136083684451</v>
      </c>
    </row>
    <row r="23" spans="1:12" ht="14.25" x14ac:dyDescent="0.25">
      <c r="A23" s="8" t="s">
        <v>46</v>
      </c>
      <c r="B23" s="136" t="s">
        <v>47</v>
      </c>
      <c r="C23" s="137"/>
      <c r="D23" s="73">
        <v>2.3E-3</v>
      </c>
      <c r="E23" s="12" t="s">
        <v>3</v>
      </c>
      <c r="F23" s="13" t="s">
        <v>42</v>
      </c>
      <c r="G23" s="14">
        <v>2</v>
      </c>
      <c r="H23" s="15">
        <f>-$B$42/($B$43*$B$44*$B$45^2*$B$46*$B$47*$B$48*$B$49*$B$50*$B$51)</f>
        <v>-56.756545306695408</v>
      </c>
      <c r="I23" s="16" t="s">
        <v>19</v>
      </c>
      <c r="J23" s="11">
        <f t="shared" si="0"/>
        <v>-6.5270027102699718E-2</v>
      </c>
      <c r="K23" s="17" t="s">
        <v>20</v>
      </c>
      <c r="L23" s="58">
        <f t="shared" si="1"/>
        <v>2.8969741337618285E-3</v>
      </c>
    </row>
    <row r="24" spans="1:12" ht="14.25" x14ac:dyDescent="0.25">
      <c r="A24" s="8" t="s">
        <v>48</v>
      </c>
      <c r="B24" s="136" t="s">
        <v>49</v>
      </c>
      <c r="C24" s="137"/>
      <c r="D24" s="74">
        <v>1.0000000000000001E-5</v>
      </c>
      <c r="E24" s="20" t="s">
        <v>50</v>
      </c>
      <c r="F24" s="13" t="s">
        <v>42</v>
      </c>
      <c r="G24" s="14">
        <v>2</v>
      </c>
      <c r="H24" s="15">
        <f>-$B$42/($B$43*$B$44*$B$45*$B$46^2*$B$47*$B$48*$B$49*$B$50*$B$51)</f>
        <v>-1580.3458084742929</v>
      </c>
      <c r="I24" s="16" t="s">
        <v>51</v>
      </c>
      <c r="J24" s="11">
        <f t="shared" si="0"/>
        <v>-7.9017290423714654E-3</v>
      </c>
      <c r="K24" s="17">
        <v>12</v>
      </c>
      <c r="L24" s="58">
        <f t="shared" si="1"/>
        <v>4.2458172575713993E-5</v>
      </c>
    </row>
    <row r="25" spans="1:12" ht="14.25" x14ac:dyDescent="0.25">
      <c r="A25" s="8" t="s">
        <v>52</v>
      </c>
      <c r="B25" s="136" t="s">
        <v>53</v>
      </c>
      <c r="C25" s="137"/>
      <c r="D25" s="73">
        <f>0.00001/2</f>
        <v>5.0000000000000004E-6</v>
      </c>
      <c r="E25" s="20" t="s">
        <v>50</v>
      </c>
      <c r="F25" s="13" t="s">
        <v>24</v>
      </c>
      <c r="G25" s="14">
        <f>SQRT(3)</f>
        <v>1.7320508075688772</v>
      </c>
      <c r="H25" s="15">
        <f>-$B$42/($B$43*$B$44*$B$45*$B$46^2*$B$47*$B$48*$B$49*$B$50*$B$51)</f>
        <v>-1580.3458084742929</v>
      </c>
      <c r="I25" s="16" t="s">
        <v>51</v>
      </c>
      <c r="J25" s="11">
        <f t="shared" si="0"/>
        <v>-4.56206538967665E-3</v>
      </c>
      <c r="K25" s="17" t="s">
        <v>20</v>
      </c>
      <c r="L25" s="58">
        <f t="shared" si="1"/>
        <v>1.4152724191904669E-5</v>
      </c>
    </row>
    <row r="26" spans="1:12" ht="14.25" x14ac:dyDescent="0.25">
      <c r="A26" s="8" t="s">
        <v>54</v>
      </c>
      <c r="B26" s="136" t="s">
        <v>55</v>
      </c>
      <c r="C26" s="137"/>
      <c r="D26" s="74">
        <f>0.00001/2</f>
        <v>5.0000000000000004E-6</v>
      </c>
      <c r="E26" s="20" t="s">
        <v>50</v>
      </c>
      <c r="F26" s="13" t="s">
        <v>24</v>
      </c>
      <c r="G26" s="14">
        <f t="shared" ref="G26:G32" si="2">SQRT(3)</f>
        <v>1.7320508075688772</v>
      </c>
      <c r="H26" s="15">
        <f>-$B$42/($B$43*$B$44*$B$45*$B$46^2*$B$47*$B$48*$B$49*$B$50*$B$51)</f>
        <v>-1580.3458084742929</v>
      </c>
      <c r="I26" s="16" t="s">
        <v>51</v>
      </c>
      <c r="J26" s="11">
        <f t="shared" si="0"/>
        <v>-4.56206538967665E-3</v>
      </c>
      <c r="K26" s="17" t="s">
        <v>20</v>
      </c>
      <c r="L26" s="59">
        <f t="shared" si="1"/>
        <v>1.4152724191904669E-5</v>
      </c>
    </row>
    <row r="27" spans="1:12" ht="14.25" x14ac:dyDescent="0.25">
      <c r="A27" s="8" t="s">
        <v>56</v>
      </c>
      <c r="B27" s="136" t="s">
        <v>57</v>
      </c>
      <c r="C27" s="137"/>
      <c r="D27" s="74">
        <f>0.00001/2</f>
        <v>5.0000000000000004E-6</v>
      </c>
      <c r="E27" s="20" t="s">
        <v>50</v>
      </c>
      <c r="F27" s="13" t="s">
        <v>24</v>
      </c>
      <c r="G27" s="14">
        <f t="shared" si="2"/>
        <v>1.7320508075688772</v>
      </c>
      <c r="H27" s="15">
        <f>-$B$42/($B$43*$B$44*$B$45*$B$46^2*$B$47*$B$48*$B$49*$B$50*$B$51)</f>
        <v>-1580.3458084742929</v>
      </c>
      <c r="I27" s="16" t="s">
        <v>51</v>
      </c>
      <c r="J27" s="11">
        <f t="shared" si="0"/>
        <v>-4.56206538967665E-3</v>
      </c>
      <c r="K27" s="17" t="s">
        <v>20</v>
      </c>
      <c r="L27" s="58">
        <f t="shared" si="1"/>
        <v>1.4152724191904669E-5</v>
      </c>
    </row>
    <row r="28" spans="1:12" ht="14.25" x14ac:dyDescent="0.25">
      <c r="A28" s="8" t="s">
        <v>58</v>
      </c>
      <c r="B28" s="183" t="s">
        <v>59</v>
      </c>
      <c r="C28" s="184"/>
      <c r="D28" s="73">
        <f>B73</f>
        <v>5.5784735049302326E-4</v>
      </c>
      <c r="E28" s="12" t="s">
        <v>3</v>
      </c>
      <c r="F28" s="13" t="s">
        <v>24</v>
      </c>
      <c r="G28" s="14">
        <f t="shared" si="2"/>
        <v>1.7320508075688772</v>
      </c>
      <c r="H28" s="15">
        <f>-$B$42/($B$43*$B$44*$B$45*$B$46*$B$47^2*$B$48*$B$49*$B$50*$B$51)</f>
        <v>-49.145422517191285</v>
      </c>
      <c r="I28" s="16" t="s">
        <v>19</v>
      </c>
      <c r="J28" s="11">
        <f t="shared" si="0"/>
        <v>-1.5828429293339368E-2</v>
      </c>
      <c r="K28" s="17" t="s">
        <v>20</v>
      </c>
      <c r="L28" s="58">
        <f t="shared" si="1"/>
        <v>1.7036982313544953E-4</v>
      </c>
    </row>
    <row r="29" spans="1:12" ht="12.75" customHeight="1" x14ac:dyDescent="0.25">
      <c r="A29" s="8" t="s">
        <v>60</v>
      </c>
      <c r="B29" s="183" t="s">
        <v>61</v>
      </c>
      <c r="C29" s="184"/>
      <c r="D29" s="73">
        <v>0</v>
      </c>
      <c r="E29" s="12" t="s">
        <v>3</v>
      </c>
      <c r="F29" s="13" t="s">
        <v>24</v>
      </c>
      <c r="G29" s="14">
        <f t="shared" si="2"/>
        <v>1.7320508075688772</v>
      </c>
      <c r="H29" s="15">
        <f>-$B$42/($B$43*$B$44*$B$45*$B$46*$B$47*$B$48^2*$B$49*$B$50*$B$51)</f>
        <v>-48.311171365059138</v>
      </c>
      <c r="I29" s="16" t="s">
        <v>19</v>
      </c>
      <c r="J29" s="11">
        <f t="shared" si="0"/>
        <v>0</v>
      </c>
      <c r="K29" s="17" t="s">
        <v>20</v>
      </c>
      <c r="L29" s="58">
        <f t="shared" si="1"/>
        <v>0</v>
      </c>
    </row>
    <row r="30" spans="1:12" ht="14.25" x14ac:dyDescent="0.25">
      <c r="A30" s="8" t="s">
        <v>62</v>
      </c>
      <c r="B30" s="183" t="s">
        <v>63</v>
      </c>
      <c r="C30" s="184"/>
      <c r="D30" s="73">
        <v>0</v>
      </c>
      <c r="E30" s="12" t="s">
        <v>3</v>
      </c>
      <c r="F30" s="13" t="s">
        <v>24</v>
      </c>
      <c r="G30" s="14">
        <f t="shared" si="2"/>
        <v>1.7320508075688772</v>
      </c>
      <c r="H30" s="15">
        <f>-$B$42/($B$43*$B$44*$B$45*$B$46*$B$47*$B$48*$B$49^2*$B$50*$B$51)</f>
        <v>-48.311171365059138</v>
      </c>
      <c r="I30" s="16" t="s">
        <v>19</v>
      </c>
      <c r="J30" s="11">
        <f t="shared" si="0"/>
        <v>0</v>
      </c>
      <c r="K30" s="17" t="s">
        <v>20</v>
      </c>
      <c r="L30" s="58">
        <f t="shared" si="1"/>
        <v>0</v>
      </c>
    </row>
    <row r="31" spans="1:12" ht="14.25" x14ac:dyDescent="0.25">
      <c r="A31" s="8" t="s">
        <v>64</v>
      </c>
      <c r="B31" s="183" t="s">
        <v>65</v>
      </c>
      <c r="C31" s="184"/>
      <c r="D31" s="73">
        <v>0</v>
      </c>
      <c r="E31" s="12" t="s">
        <v>3</v>
      </c>
      <c r="F31" s="13" t="s">
        <v>24</v>
      </c>
      <c r="G31" s="14">
        <f t="shared" si="2"/>
        <v>1.7320508075688772</v>
      </c>
      <c r="H31" s="15">
        <f>-$B$42/($B$43*$B$44*$B$45*$B$46*$B$47*$B$48*$B$49*$B$50^2*$B$51)</f>
        <v>-48.311171365059138</v>
      </c>
      <c r="I31" s="16" t="s">
        <v>19</v>
      </c>
      <c r="J31" s="11">
        <f>IF(D31="","",D31/G31*H31)</f>
        <v>0</v>
      </c>
      <c r="K31" s="17" t="s">
        <v>20</v>
      </c>
      <c r="L31" s="58">
        <f t="shared" si="1"/>
        <v>0</v>
      </c>
    </row>
    <row r="32" spans="1:12" ht="14.25" x14ac:dyDescent="0.25">
      <c r="A32" s="8" t="s">
        <v>66</v>
      </c>
      <c r="B32" s="183" t="s">
        <v>67</v>
      </c>
      <c r="C32" s="184"/>
      <c r="D32" s="73">
        <v>0</v>
      </c>
      <c r="E32" s="12" t="s">
        <v>3</v>
      </c>
      <c r="F32" s="13" t="s">
        <v>24</v>
      </c>
      <c r="G32" s="14">
        <f t="shared" si="2"/>
        <v>1.7320508075688772</v>
      </c>
      <c r="H32" s="15">
        <f>-$B$42/($B$43*$B$44*$B$45*$B$46*$B$47*$B$48*$B$49*$B$50*$B$51^2)</f>
        <v>-48.311171365059138</v>
      </c>
      <c r="I32" s="16" t="s">
        <v>19</v>
      </c>
      <c r="J32" s="11">
        <f>IF(D32="","",D32/G32*H32)</f>
        <v>0</v>
      </c>
      <c r="K32" s="17" t="s">
        <v>20</v>
      </c>
      <c r="L32" s="58">
        <f t="shared" si="1"/>
        <v>0</v>
      </c>
    </row>
    <row r="33" spans="1:12" ht="12.75" customHeight="1" x14ac:dyDescent="0.25">
      <c r="A33" s="8" t="s">
        <v>68</v>
      </c>
      <c r="B33" s="136" t="s">
        <v>69</v>
      </c>
      <c r="C33" s="137"/>
      <c r="D33" s="73">
        <v>0</v>
      </c>
      <c r="E33" s="20" t="s">
        <v>19</v>
      </c>
      <c r="F33" s="13" t="s">
        <v>18</v>
      </c>
      <c r="G33" s="14">
        <v>1</v>
      </c>
      <c r="H33" s="15">
        <v>1</v>
      </c>
      <c r="I33" s="52" t="s">
        <v>3</v>
      </c>
      <c r="J33" s="11">
        <f>IF(D33="","",D33/G33*H33)</f>
        <v>0</v>
      </c>
      <c r="K33" s="17">
        <v>2</v>
      </c>
      <c r="L33" s="58">
        <f t="shared" si="1"/>
        <v>0</v>
      </c>
    </row>
    <row r="34" spans="1:12" ht="14.25" x14ac:dyDescent="0.25">
      <c r="A34" s="8" t="s">
        <v>70</v>
      </c>
      <c r="B34" s="136" t="s">
        <v>71</v>
      </c>
      <c r="C34" s="137"/>
      <c r="D34" s="73">
        <v>0</v>
      </c>
      <c r="E34" s="20" t="s">
        <v>19</v>
      </c>
      <c r="F34" s="13" t="s">
        <v>18</v>
      </c>
      <c r="G34" s="14">
        <v>1</v>
      </c>
      <c r="H34" s="15">
        <v>1</v>
      </c>
      <c r="I34" s="52" t="s">
        <v>3</v>
      </c>
      <c r="J34" s="11">
        <f>IF(D34="","",D34/G34*H34)</f>
        <v>0</v>
      </c>
      <c r="K34" s="17">
        <v>2</v>
      </c>
      <c r="L34" s="58">
        <f t="shared" si="1"/>
        <v>0</v>
      </c>
    </row>
    <row r="35" spans="1:12" x14ac:dyDescent="0.2">
      <c r="A35" s="32"/>
      <c r="B35" s="32"/>
      <c r="C35" s="32"/>
      <c r="D35" s="33"/>
      <c r="E35" s="33"/>
      <c r="F35" s="34"/>
      <c r="G35" s="35"/>
      <c r="H35" s="35"/>
      <c r="I35" s="35"/>
      <c r="J35" s="33"/>
      <c r="K35" s="36"/>
      <c r="L35" s="37">
        <f>SUMSQ(J20:J34)</f>
        <v>1.470560744170387</v>
      </c>
    </row>
    <row r="36" spans="1:12" ht="12.75" customHeight="1" x14ac:dyDescent="0.2">
      <c r="A36" s="154" t="s">
        <v>30</v>
      </c>
      <c r="B36" s="176"/>
      <c r="C36" s="160" t="s">
        <v>6</v>
      </c>
      <c r="D36" s="150" t="s">
        <v>31</v>
      </c>
      <c r="E36" s="176"/>
      <c r="F36" s="154" t="s">
        <v>32</v>
      </c>
      <c r="G36" s="176"/>
      <c r="H36" s="138" t="s">
        <v>33</v>
      </c>
      <c r="I36" s="193"/>
      <c r="J36" s="176"/>
      <c r="K36" s="144" t="s">
        <v>2</v>
      </c>
      <c r="L36" s="176"/>
    </row>
    <row r="37" spans="1:12" x14ac:dyDescent="0.2">
      <c r="A37" s="177"/>
      <c r="B37" s="178"/>
      <c r="C37" s="197"/>
      <c r="D37" s="177"/>
      <c r="E37" s="178"/>
      <c r="F37" s="177"/>
      <c r="G37" s="178"/>
      <c r="H37" s="177"/>
      <c r="I37" s="194"/>
      <c r="J37" s="178"/>
      <c r="K37" s="177"/>
      <c r="L37" s="178"/>
    </row>
    <row r="38" spans="1:12" x14ac:dyDescent="0.2">
      <c r="A38" s="148">
        <f>SQRT(SUMSQ(J20:J34))</f>
        <v>1.2126667902479999</v>
      </c>
      <c r="B38" s="149"/>
      <c r="C38" s="38" t="s">
        <v>18</v>
      </c>
      <c r="D38" s="165" t="str">
        <f>IF(M28=0,"Infinito",((A38^4/(J24^4/K24+J33^4/K33+J34^4/K34))))</f>
        <v>Infinito</v>
      </c>
      <c r="E38" s="166"/>
      <c r="F38" s="167">
        <f>(ROUND(IF((OR(D38&gt;1000000,D38="infinito")),2,(TINV(1-0.9545,D38))),2))</f>
        <v>2</v>
      </c>
      <c r="G38" s="168"/>
      <c r="H38" s="195">
        <f>A38*F38</f>
        <v>2.4253335804959999</v>
      </c>
      <c r="I38" s="203"/>
      <c r="J38" s="196"/>
      <c r="K38" s="195" t="s">
        <v>19</v>
      </c>
      <c r="L38" s="196"/>
    </row>
    <row r="39" spans="1:12" x14ac:dyDescent="0.2">
      <c r="A39" s="39"/>
      <c r="B39" s="39"/>
      <c r="C39" s="39"/>
      <c r="D39" s="40"/>
      <c r="E39" s="40"/>
      <c r="F39" s="41"/>
      <c r="G39" s="42"/>
      <c r="H39" s="42"/>
      <c r="I39" s="42"/>
      <c r="J39" s="40"/>
      <c r="K39" s="44"/>
      <c r="L39" s="45"/>
    </row>
    <row r="40" spans="1:12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</row>
    <row r="41" spans="1:12" x14ac:dyDescent="0.2">
      <c r="A41" s="179" t="s">
        <v>90</v>
      </c>
      <c r="B41" s="179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50" t="s">
        <v>72</v>
      </c>
      <c r="B42" s="14">
        <f>[1]Incerteza_N!H7</f>
        <v>3070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46" t="s">
        <v>35</v>
      </c>
      <c r="B43" s="13">
        <f>[1]Incerteza_N!B37</f>
        <v>83202.509999999995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53" t="s">
        <v>73</v>
      </c>
      <c r="B44" s="11">
        <f>B59</f>
        <v>2.9858145614511705E-2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53" t="s">
        <v>74</v>
      </c>
      <c r="B45" s="73">
        <v>0.85119999999999996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46" t="s">
        <v>75</v>
      </c>
      <c r="B46" s="73">
        <v>3.057E-2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3">
      <c r="A47" s="46" t="s">
        <v>76</v>
      </c>
      <c r="B47" s="11">
        <f>B66</f>
        <v>0.98302484525714839</v>
      </c>
      <c r="C47" s="201" t="s">
        <v>93</v>
      </c>
      <c r="D47" s="202"/>
      <c r="E47" s="1"/>
      <c r="F47" s="1"/>
      <c r="G47" s="1"/>
      <c r="H47" s="1"/>
      <c r="I47" s="1"/>
      <c r="J47" s="1"/>
      <c r="K47" s="1"/>
      <c r="L47" s="1"/>
    </row>
    <row r="48" spans="1:12" ht="14.25" x14ac:dyDescent="0.25">
      <c r="A48" s="46" t="s">
        <v>77</v>
      </c>
      <c r="B48" s="75">
        <v>1</v>
      </c>
      <c r="C48" s="181" t="s">
        <v>94</v>
      </c>
      <c r="D48" s="182"/>
      <c r="E48" s="1"/>
      <c r="F48" s="1"/>
      <c r="G48" s="1"/>
      <c r="H48" s="1"/>
      <c r="I48" s="1"/>
      <c r="J48" s="1"/>
      <c r="K48" s="1"/>
      <c r="L48" s="1"/>
    </row>
    <row r="49" spans="1:12" ht="14.25" x14ac:dyDescent="0.25">
      <c r="A49" s="46" t="s">
        <v>78</v>
      </c>
      <c r="B49" s="75">
        <v>1</v>
      </c>
      <c r="C49" s="181" t="s">
        <v>92</v>
      </c>
      <c r="D49" s="182"/>
      <c r="E49" s="1"/>
      <c r="F49" s="1"/>
      <c r="G49" s="1"/>
      <c r="H49" s="1"/>
      <c r="I49" s="1"/>
      <c r="J49" s="1"/>
      <c r="K49" s="1"/>
      <c r="L49" s="1"/>
    </row>
    <row r="50" spans="1:12" ht="14.25" x14ac:dyDescent="0.25">
      <c r="A50" s="46" t="s">
        <v>79</v>
      </c>
      <c r="B50" s="75">
        <v>1</v>
      </c>
      <c r="C50" s="181" t="s">
        <v>92</v>
      </c>
      <c r="D50" s="182"/>
      <c r="E50" s="1"/>
      <c r="F50" s="1"/>
      <c r="G50" s="1"/>
      <c r="H50" s="1"/>
      <c r="I50" s="1"/>
      <c r="J50" s="1"/>
      <c r="K50" s="1"/>
      <c r="L50" s="1"/>
    </row>
    <row r="51" spans="1:12" ht="14.25" x14ac:dyDescent="0.25">
      <c r="A51" s="46" t="s">
        <v>80</v>
      </c>
      <c r="B51" s="75">
        <v>1</v>
      </c>
      <c r="C51" s="181" t="s">
        <v>92</v>
      </c>
      <c r="D51" s="182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46" t="s">
        <v>104</v>
      </c>
      <c r="B52" s="20">
        <f>(B42/PRODUCT(B43:B51))</f>
        <v>48.311171365059138</v>
      </c>
      <c r="C52" s="34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79" t="s">
        <v>86</v>
      </c>
      <c r="B54" s="179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51" t="s">
        <v>81</v>
      </c>
      <c r="B55" s="75">
        <v>661.86</v>
      </c>
      <c r="C55" s="1"/>
      <c r="D55" s="1"/>
      <c r="E55" s="1"/>
      <c r="F55" s="1"/>
      <c r="G55" s="1"/>
      <c r="H55" s="1"/>
      <c r="I55" s="54"/>
      <c r="J55" s="1"/>
      <c r="K55" s="1"/>
      <c r="L55" s="1"/>
    </row>
    <row r="56" spans="1:12" x14ac:dyDescent="0.2">
      <c r="A56" s="51" t="s">
        <v>82</v>
      </c>
      <c r="B56" s="85">
        <v>-4.3769999999999998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">
      <c r="A57" s="51" t="s">
        <v>83</v>
      </c>
      <c r="B57" s="85">
        <v>1.1659999999999999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51" t="s">
        <v>84</v>
      </c>
      <c r="B58" s="85">
        <v>-0.159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83" t="s">
        <v>73</v>
      </c>
      <c r="B59" s="91">
        <f>EXP(B56+B57*LN(B55)+B58*(LN(B55)^2))</f>
        <v>2.9858145614511705E-2</v>
      </c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x14ac:dyDescent="0.25">
      <c r="A61" s="179" t="s">
        <v>87</v>
      </c>
      <c r="B61" s="179"/>
    </row>
    <row r="62" spans="1:12" ht="15.75" x14ac:dyDescent="0.3">
      <c r="A62" s="13" t="s">
        <v>88</v>
      </c>
      <c r="B62" s="88">
        <v>41187</v>
      </c>
    </row>
    <row r="63" spans="1:12" ht="15.75" x14ac:dyDescent="0.3">
      <c r="A63" s="13" t="s">
        <v>89</v>
      </c>
      <c r="B63" s="88">
        <v>41459</v>
      </c>
      <c r="C63" s="56"/>
    </row>
    <row r="64" spans="1:12" ht="15.75" x14ac:dyDescent="0.3">
      <c r="A64" s="13" t="s">
        <v>98</v>
      </c>
      <c r="B64" s="87">
        <f>(B63-B62)/365</f>
        <v>0.74520547945205484</v>
      </c>
    </row>
    <row r="65" spans="1:12" ht="15.75" x14ac:dyDescent="0.3">
      <c r="A65" s="13" t="s">
        <v>91</v>
      </c>
      <c r="B65" s="86">
        <v>30.17</v>
      </c>
    </row>
    <row r="66" spans="1:12" ht="14.25" x14ac:dyDescent="0.25">
      <c r="A66" s="84" t="s">
        <v>76</v>
      </c>
      <c r="B66" s="89">
        <f>EXP(-LN(2)*(B64/B65))</f>
        <v>0.98302484525714839</v>
      </c>
    </row>
    <row r="68" spans="1:12" ht="14.25" x14ac:dyDescent="0.25">
      <c r="A68" s="179" t="s">
        <v>99</v>
      </c>
      <c r="B68" s="179"/>
    </row>
    <row r="69" spans="1:12" ht="15.75" x14ac:dyDescent="0.3">
      <c r="A69" s="13" t="s">
        <v>100</v>
      </c>
      <c r="B69" s="89">
        <f>B66</f>
        <v>0.98302484525714839</v>
      </c>
    </row>
    <row r="70" spans="1:12" ht="15.75" x14ac:dyDescent="0.3">
      <c r="A70" s="13" t="s">
        <v>98</v>
      </c>
      <c r="B70" s="89">
        <f>B64</f>
        <v>0.74520547945205484</v>
      </c>
    </row>
    <row r="71" spans="1:12" ht="15.75" x14ac:dyDescent="0.3">
      <c r="A71" s="13" t="s">
        <v>91</v>
      </c>
      <c r="B71" s="89">
        <f>B65</f>
        <v>30.17</v>
      </c>
    </row>
    <row r="72" spans="1:12" ht="15.75" x14ac:dyDescent="0.3">
      <c r="A72" s="57" t="s">
        <v>101</v>
      </c>
      <c r="B72" s="86">
        <v>1</v>
      </c>
    </row>
    <row r="73" spans="1:12" ht="15.75" x14ac:dyDescent="0.3">
      <c r="A73" s="57" t="s">
        <v>102</v>
      </c>
      <c r="B73" s="90">
        <f>(((B69*LN(2)*B70)/B71^2)*B72)</f>
        <v>5.5784735049302326E-4</v>
      </c>
    </row>
    <row r="75" spans="1:12" ht="16.5" customHeight="1" x14ac:dyDescent="0.2">
      <c r="A75" s="173" t="s">
        <v>108</v>
      </c>
      <c r="B75" s="174"/>
      <c r="C75" s="174"/>
      <c r="D75" s="174"/>
      <c r="E75" s="174"/>
      <c r="F75" s="175"/>
      <c r="G75" s="94" t="s">
        <v>106</v>
      </c>
      <c r="H75" s="95"/>
      <c r="I75" s="96"/>
      <c r="J75" s="162" t="s">
        <v>112</v>
      </c>
      <c r="K75" s="163"/>
      <c r="L75" s="164"/>
    </row>
  </sheetData>
  <sheetProtection sheet="1" objects="1" scenarios="1"/>
  <mergeCells count="55">
    <mergeCell ref="H15:K15"/>
    <mergeCell ref="A16:G16"/>
    <mergeCell ref="H16:K16"/>
    <mergeCell ref="A18:A19"/>
    <mergeCell ref="B18:E18"/>
    <mergeCell ref="A15:G15"/>
    <mergeCell ref="J75:L75"/>
    <mergeCell ref="G18:G19"/>
    <mergeCell ref="B32:C32"/>
    <mergeCell ref="B33:C33"/>
    <mergeCell ref="B22:C22"/>
    <mergeCell ref="B23:C23"/>
    <mergeCell ref="B30:C30"/>
    <mergeCell ref="B31:C31"/>
    <mergeCell ref="A75:F75"/>
    <mergeCell ref="C47:D47"/>
    <mergeCell ref="F38:G38"/>
    <mergeCell ref="H38:J38"/>
    <mergeCell ref="B28:C28"/>
    <mergeCell ref="L18:L19"/>
    <mergeCell ref="B19:C19"/>
    <mergeCell ref="B20:C20"/>
    <mergeCell ref="B21:C21"/>
    <mergeCell ref="A54:B54"/>
    <mergeCell ref="A1:L2"/>
    <mergeCell ref="A9:L9"/>
    <mergeCell ref="C11:C12"/>
    <mergeCell ref="A38:B38"/>
    <mergeCell ref="H36:J37"/>
    <mergeCell ref="K38:L38"/>
    <mergeCell ref="K36:L37"/>
    <mergeCell ref="B34:C34"/>
    <mergeCell ref="A36:B37"/>
    <mergeCell ref="C36:C37"/>
    <mergeCell ref="D38:E38"/>
    <mergeCell ref="D36:E37"/>
    <mergeCell ref="H18:I18"/>
    <mergeCell ref="B24:C24"/>
    <mergeCell ref="B25:C25"/>
    <mergeCell ref="F36:G37"/>
    <mergeCell ref="A4:E7"/>
    <mergeCell ref="F4:H7"/>
    <mergeCell ref="I4:L7"/>
    <mergeCell ref="A68:B68"/>
    <mergeCell ref="A40:L40"/>
    <mergeCell ref="A61:B61"/>
    <mergeCell ref="C49:D49"/>
    <mergeCell ref="C50:D50"/>
    <mergeCell ref="C51:D51"/>
    <mergeCell ref="C48:D48"/>
    <mergeCell ref="A41:B41"/>
    <mergeCell ref="B29:C29"/>
    <mergeCell ref="B26:C26"/>
    <mergeCell ref="B27:C27"/>
    <mergeCell ref="F18:F19"/>
  </mergeCells>
  <phoneticPr fontId="18" type="noConversion"/>
  <dataValidations count="2">
    <dataValidation type="list" allowBlank="1" showInputMessage="1" showErrorMessage="1" sqref="F20:F34">
      <formula1>$IS$5:$IS$14</formula1>
    </dataValidation>
    <dataValidation type="list" allowBlank="1" showInputMessage="1" showErrorMessage="1" sqref="C38 F35">
      <formula1>$IS$6:$IS$14</formula1>
    </dataValidation>
  </dataValidations>
  <pageMargins left="0.23" right="0.16" top="0.984251969" bottom="0.984251969" header="0.49212598499999999" footer="0.49212598499999999"/>
  <pageSetup paperSize="9" orientation="landscape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8" r:id="rId4">
          <objectPr defaultSize="0" autoPict="0" r:id="rId5">
            <anchor moveWithCells="1" sizeWithCells="1">
              <from>
                <xdr:col>2</xdr:col>
                <xdr:colOff>342900</xdr:colOff>
                <xdr:row>61</xdr:row>
                <xdr:rowOff>133350</xdr:rowOff>
              </from>
              <to>
                <xdr:col>2</xdr:col>
                <xdr:colOff>1733550</xdr:colOff>
                <xdr:row>64</xdr:row>
                <xdr:rowOff>104775</xdr:rowOff>
              </to>
            </anchor>
          </objectPr>
        </oleObject>
      </mc:Choice>
      <mc:Fallback>
        <oleObject progId="Equation.3" shapeId="2058" r:id="rId4"/>
      </mc:Fallback>
    </mc:AlternateContent>
    <mc:AlternateContent xmlns:mc="http://schemas.openxmlformats.org/markup-compatibility/2006">
      <mc:Choice Requires="x14">
        <oleObject progId="Equation.3" shapeId="2059" r:id="rId6">
          <objectPr defaultSize="0" autoPict="0" r:id="rId7">
            <anchor moveWithCells="1" sizeWithCells="1">
              <from>
                <xdr:col>2</xdr:col>
                <xdr:colOff>171450</xdr:colOff>
                <xdr:row>67</xdr:row>
                <xdr:rowOff>38100</xdr:rowOff>
              </from>
              <to>
                <xdr:col>4</xdr:col>
                <xdr:colOff>523875</xdr:colOff>
                <xdr:row>72</xdr:row>
                <xdr:rowOff>190500</xdr:rowOff>
              </to>
            </anchor>
          </objectPr>
        </oleObject>
      </mc:Choice>
      <mc:Fallback>
        <oleObject progId="Equation.3" shapeId="205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Inc. da Área</vt:lpstr>
      <vt:lpstr>Inc. Atividade</vt:lpstr>
    </vt:vector>
  </TitlesOfParts>
  <Company>CNEN - Laboratorio de Pocos de Caldas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Rey Silva</dc:creator>
  <cp:lastModifiedBy>Daniela Rey Silva</cp:lastModifiedBy>
  <cp:lastPrinted>2014-02-20T11:08:24Z</cp:lastPrinted>
  <dcterms:created xsi:type="dcterms:W3CDTF">2013-08-26T12:29:56Z</dcterms:created>
  <dcterms:modified xsi:type="dcterms:W3CDTF">2015-03-20T14:21:03Z</dcterms:modified>
</cp:coreProperties>
</file>