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5.bin" ContentType="application/vnd.openxmlformats-officedocument.oleObject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345" yWindow="945" windowWidth="19020" windowHeight="11775"/>
  </bookViews>
  <sheets>
    <sheet name="Modelo" sheetId="4" r:id="rId1"/>
    <sheet name="Fcal" sheetId="15" r:id="rId2"/>
    <sheet name="GeralComDiluicao" sheetId="13" r:id="rId3"/>
    <sheet name="GeralSemDiluicao" sheetId="16" r:id="rId4"/>
  </sheets>
  <externalReferences>
    <externalReference r:id="rId5"/>
  </externalReferences>
  <definedNames>
    <definedName name="_xlnm._FilterDatabase" localSheetId="0" hidden="1">Modelo!$J$10:$J$14</definedName>
    <definedName name="a" localSheetId="3">#REF!</definedName>
    <definedName name="a">#REF!</definedName>
    <definedName name="b" localSheetId="3">#REF!</definedName>
    <definedName name="b">#REF!</definedName>
    <definedName name="blk">[1]Reta!$B$24</definedName>
    <definedName name="conc">[1]Reta!$B$22</definedName>
    <definedName name="N" localSheetId="3">#REF!</definedName>
    <definedName name="N">#REF!</definedName>
    <definedName name="npeq" localSheetId="3">#REF!</definedName>
    <definedName name="npeq">#REF!</definedName>
    <definedName name="sy" localSheetId="3">#REF!</definedName>
    <definedName name="sy">#REF!</definedName>
  </definedNames>
  <calcPr calcId="145621"/>
</workbook>
</file>

<file path=xl/calcChain.xml><?xml version="1.0" encoding="utf-8"?>
<calcChain xmlns="http://schemas.openxmlformats.org/spreadsheetml/2006/main">
  <c r="N28" i="4" l="1"/>
  <c r="M28" i="4"/>
  <c r="G31" i="13" s="1"/>
  <c r="G22" i="16" l="1"/>
  <c r="D19" i="13"/>
  <c r="C31" i="13" l="1"/>
  <c r="C22" i="16"/>
  <c r="E27" i="16" l="1"/>
  <c r="D27" i="16"/>
  <c r="E26" i="16"/>
  <c r="F26" i="16" s="1"/>
  <c r="E25" i="16"/>
  <c r="F25" i="16" s="1"/>
  <c r="E24" i="16"/>
  <c r="D23" i="16"/>
  <c r="F23" i="16" s="1"/>
  <c r="C23" i="16"/>
  <c r="C25" i="16" s="1"/>
  <c r="G21" i="16"/>
  <c r="E21" i="16"/>
  <c r="B21" i="16"/>
  <c r="C20" i="16"/>
  <c r="J19" i="16" s="1"/>
  <c r="E19" i="16"/>
  <c r="C19" i="16"/>
  <c r="D19" i="16" s="1"/>
  <c r="D18" i="16"/>
  <c r="F18" i="16" s="1"/>
  <c r="C18" i="16"/>
  <c r="E17" i="16"/>
  <c r="C17" i="16"/>
  <c r="D17" i="16" s="1"/>
  <c r="O28" i="4"/>
  <c r="E36" i="13"/>
  <c r="E35" i="13"/>
  <c r="F35" i="13" s="1"/>
  <c r="E34" i="13"/>
  <c r="F34" i="13" s="1"/>
  <c r="E33" i="13"/>
  <c r="E20" i="13"/>
  <c r="D36" i="13"/>
  <c r="D32" i="13"/>
  <c r="F32" i="13" s="1"/>
  <c r="C32" i="13"/>
  <c r="C35" i="13" s="1"/>
  <c r="E30" i="13"/>
  <c r="G30" i="13"/>
  <c r="B30" i="13"/>
  <c r="F29" i="15"/>
  <c r="E28" i="15"/>
  <c r="G28" i="15" s="1"/>
  <c r="F17" i="16" l="1"/>
  <c r="F36" i="13"/>
  <c r="C36" i="13"/>
  <c r="C33" i="13"/>
  <c r="D33" i="13" s="1"/>
  <c r="F33" i="13" s="1"/>
  <c r="D37" i="13" s="1"/>
  <c r="F37" i="13" s="1"/>
  <c r="O19" i="13" s="1"/>
  <c r="C34" i="13"/>
  <c r="C37" i="13"/>
  <c r="J24" i="13" s="1"/>
  <c r="F19" i="16"/>
  <c r="C26" i="16"/>
  <c r="K17" i="16"/>
  <c r="C27" i="16"/>
  <c r="D20" i="16"/>
  <c r="F20" i="16" s="1"/>
  <c r="L17" i="16" s="1"/>
  <c r="L19" i="16" s="1"/>
  <c r="C28" i="16"/>
  <c r="J21" i="16" s="1"/>
  <c r="F27" i="16"/>
  <c r="M19" i="16"/>
  <c r="N19" i="16"/>
  <c r="K19" i="16"/>
  <c r="J18" i="16"/>
  <c r="C24" i="16"/>
  <c r="D24" i="16" s="1"/>
  <c r="F24" i="16" s="1"/>
  <c r="D28" i="16" l="1"/>
  <c r="F28" i="16" s="1"/>
  <c r="N17" i="16" s="1"/>
  <c r="N21" i="16" s="1"/>
  <c r="K18" i="16"/>
  <c r="L24" i="13"/>
  <c r="O24" i="13"/>
  <c r="N24" i="13"/>
  <c r="M24" i="13"/>
  <c r="K24" i="13"/>
  <c r="K21" i="16"/>
  <c r="L21" i="16"/>
  <c r="M21" i="16"/>
  <c r="N18" i="16"/>
  <c r="L18" i="16"/>
  <c r="M18" i="16"/>
  <c r="B19" i="4"/>
  <c r="D28" i="15"/>
  <c r="E25" i="15"/>
  <c r="E22" i="15"/>
  <c r="G22" i="15" s="1"/>
  <c r="D25" i="15"/>
  <c r="D26" i="15" s="1"/>
  <c r="E26" i="15" s="1"/>
  <c r="D22" i="15"/>
  <c r="D24" i="15" s="1"/>
  <c r="F26" i="15"/>
  <c r="F23" i="15"/>
  <c r="E19" i="15"/>
  <c r="D19" i="15"/>
  <c r="E20" i="15" s="1"/>
  <c r="D16" i="15"/>
  <c r="D17" i="15" s="1"/>
  <c r="E17" i="15"/>
  <c r="E16" i="15"/>
  <c r="F20" i="15"/>
  <c r="F17" i="15"/>
  <c r="E26" i="13"/>
  <c r="C26" i="13"/>
  <c r="E29" i="15" l="1"/>
  <c r="G29" i="15" s="1"/>
  <c r="D19" i="4"/>
  <c r="J21" i="13"/>
  <c r="N21" i="13" s="1"/>
  <c r="D26" i="13"/>
  <c r="G26" i="15"/>
  <c r="D29" i="15"/>
  <c r="D23" i="15"/>
  <c r="E23" i="15" s="1"/>
  <c r="G23" i="15" s="1"/>
  <c r="E24" i="15" s="1"/>
  <c r="G24" i="15" s="1"/>
  <c r="D21" i="15"/>
  <c r="D20" i="15"/>
  <c r="D27" i="15"/>
  <c r="D18" i="15"/>
  <c r="G17" i="15"/>
  <c r="G20" i="15"/>
  <c r="G19" i="15"/>
  <c r="G16" i="15"/>
  <c r="O21" i="13" l="1"/>
  <c r="K21" i="13"/>
  <c r="M21" i="13"/>
  <c r="E18" i="15"/>
  <c r="G18" i="15" s="1"/>
  <c r="D30" i="15"/>
  <c r="E21" i="15"/>
  <c r="G21" i="15" s="1"/>
  <c r="G25" i="15"/>
  <c r="E27" i="15" s="1"/>
  <c r="G27" i="15" s="1"/>
  <c r="C21" i="16" l="1"/>
  <c r="J20" i="16" s="1"/>
  <c r="L20" i="16" s="1"/>
  <c r="L22" i="16" s="1"/>
  <c r="E30" i="15"/>
  <c r="D21" i="16" s="1"/>
  <c r="C30" i="13"/>
  <c r="J23" i="13" s="1"/>
  <c r="M23" i="13" s="1"/>
  <c r="C29" i="13"/>
  <c r="J22" i="13" s="1"/>
  <c r="D27" i="13"/>
  <c r="C28" i="13"/>
  <c r="D28" i="13" s="1"/>
  <c r="C27" i="13"/>
  <c r="D22" i="13"/>
  <c r="C24" i="13"/>
  <c r="C23" i="13"/>
  <c r="C22" i="13"/>
  <c r="D23" i="13" s="1"/>
  <c r="C21" i="13"/>
  <c r="C20" i="13"/>
  <c r="C19" i="13"/>
  <c r="D20" i="13" s="1"/>
  <c r="E28" i="13"/>
  <c r="F26" i="13"/>
  <c r="L19" i="13" s="1"/>
  <c r="L21" i="13" s="1"/>
  <c r="E23" i="13"/>
  <c r="K20" i="16" l="1"/>
  <c r="K22" i="16" s="1"/>
  <c r="N20" i="16"/>
  <c r="N22" i="16" s="1"/>
  <c r="C30" i="16"/>
  <c r="D22" i="16" s="1"/>
  <c r="F22" i="16" s="1"/>
  <c r="O17" i="16" s="1"/>
  <c r="O23" i="16" s="1"/>
  <c r="K23" i="13"/>
  <c r="O23" i="13"/>
  <c r="L23" i="13"/>
  <c r="G30" i="15"/>
  <c r="F21" i="16" s="1"/>
  <c r="M17" i="16" s="1"/>
  <c r="M20" i="16" s="1"/>
  <c r="M22" i="16" s="1"/>
  <c r="D30" i="13"/>
  <c r="O22" i="13"/>
  <c r="N22" i="13"/>
  <c r="K22" i="13"/>
  <c r="L22" i="13"/>
  <c r="F28" i="13"/>
  <c r="F20" i="13"/>
  <c r="C25" i="13"/>
  <c r="J20" i="13" s="1"/>
  <c r="D29" i="13"/>
  <c r="F29" i="13" s="1"/>
  <c r="M19" i="13" s="1"/>
  <c r="M22" i="13" s="1"/>
  <c r="D21" i="13"/>
  <c r="F21" i="13" s="1"/>
  <c r="D24" i="13"/>
  <c r="F24" i="13" s="1"/>
  <c r="F19" i="13"/>
  <c r="F27" i="13"/>
  <c r="F23" i="13"/>
  <c r="F22" i="13"/>
  <c r="K23" i="16" l="1"/>
  <c r="K24" i="16" s="1"/>
  <c r="L23" i="16"/>
  <c r="L24" i="16" s="1"/>
  <c r="O24" i="16"/>
  <c r="N23" i="16"/>
  <c r="N24" i="16" s="1"/>
  <c r="F30" i="13"/>
  <c r="N19" i="13" s="1"/>
  <c r="N23" i="13" s="1"/>
  <c r="C39" i="13"/>
  <c r="D31" i="13" s="1"/>
  <c r="F31" i="13" s="1"/>
  <c r="P19" i="13" s="1"/>
  <c r="P26" i="13" s="1"/>
  <c r="M23" i="16"/>
  <c r="M24" i="16" s="1"/>
  <c r="M20" i="13"/>
  <c r="M25" i="13" s="1"/>
  <c r="L20" i="13"/>
  <c r="L25" i="13" s="1"/>
  <c r="O20" i="13"/>
  <c r="O25" i="13" s="1"/>
  <c r="N20" i="13"/>
  <c r="D25" i="13"/>
  <c r="K19" i="13" s="1"/>
  <c r="K20" i="13" s="1"/>
  <c r="K25" i="13" s="1"/>
  <c r="N25" i="13" l="1"/>
  <c r="N26" i="13" s="1"/>
  <c r="N27" i="13" s="1"/>
  <c r="K26" i="13"/>
  <c r="K27" i="13" s="1"/>
  <c r="K25" i="16"/>
  <c r="K26" i="16" s="1"/>
  <c r="K30" i="16" s="1"/>
  <c r="P27" i="13"/>
  <c r="M26" i="13"/>
  <c r="M27" i="13" s="1"/>
  <c r="L26" i="13"/>
  <c r="L27" i="13" s="1"/>
  <c r="O26" i="13"/>
  <c r="O27" i="13" s="1"/>
  <c r="F25" i="13"/>
  <c r="L30" i="16" l="1"/>
  <c r="L27" i="16"/>
  <c r="N27" i="16"/>
  <c r="M27" i="16"/>
  <c r="O27" i="16"/>
  <c r="K27" i="16"/>
  <c r="J30" i="16"/>
  <c r="K28" i="13"/>
  <c r="K29" i="13" s="1"/>
  <c r="M30" i="16" l="1"/>
  <c r="M30" i="13"/>
  <c r="P30" i="13"/>
  <c r="K30" i="13"/>
  <c r="L30" i="13"/>
  <c r="J33" i="13"/>
  <c r="K33" i="13"/>
  <c r="L33" i="13" s="1"/>
  <c r="O30" i="13"/>
  <c r="N30" i="13"/>
  <c r="P30" i="16" l="1"/>
  <c r="M33" i="13"/>
  <c r="P33" i="13" s="1"/>
  <c r="P28" i="4" l="1"/>
  <c r="O25" i="4" s="1"/>
</calcChain>
</file>

<file path=xl/comments1.xml><?xml version="1.0" encoding="utf-8"?>
<comments xmlns="http://schemas.openxmlformats.org/spreadsheetml/2006/main">
  <authors>
    <author>rbonifacio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Obtido a partir do desvio-padrão relativo (desvio-padrão amostral dividido pela média das observações) das 3 integrações realizadas pelo espectrômetro no ato da leitura do padrão de trabalho.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Não apagar! È o índice do analito
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è o valor do RSD que vem da leitura da amostra no ICP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Importado via função ìndice</t>
        </r>
      </text>
    </comment>
  </commentList>
</comments>
</file>

<file path=xl/comments2.xml><?xml version="1.0" encoding="utf-8"?>
<comments xmlns="http://schemas.openxmlformats.org/spreadsheetml/2006/main">
  <authors>
    <author>rbonifacio</author>
  </authors>
  <commentList>
    <comment ref="E29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3 leituras então raiz de 3 como divisor
</t>
        </r>
      </text>
    </comment>
  </commentList>
</comments>
</file>

<file path=xl/comments3.xml><?xml version="1.0" encoding="utf-8"?>
<comments xmlns="http://schemas.openxmlformats.org/spreadsheetml/2006/main">
  <authors>
    <author>rbonifacio</author>
  </authors>
  <commentList>
    <comment ref="G31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precisa definir quanto será este GL, ou fazer link da planilha modelo para este</t>
        </r>
      </text>
    </comment>
  </commentList>
</comments>
</file>

<file path=xl/comments4.xml><?xml version="1.0" encoding="utf-8"?>
<comments xmlns="http://schemas.openxmlformats.org/spreadsheetml/2006/main">
  <authors>
    <author>rbonifacio</author>
  </authors>
  <commentList>
    <comment ref="G22" authorId="0">
      <text>
        <r>
          <rPr>
            <b/>
            <sz val="9"/>
            <color indexed="81"/>
            <rFont val="Tahoma"/>
            <family val="2"/>
          </rPr>
          <t>rbonifacio:</t>
        </r>
        <r>
          <rPr>
            <sz val="9"/>
            <color indexed="81"/>
            <rFont val="Tahoma"/>
            <family val="2"/>
          </rPr>
          <t xml:space="preserve">
precisa definir quanto será este GL, ou fazer link da planilha modelo para este</t>
        </r>
      </text>
    </comment>
  </commentList>
</comments>
</file>

<file path=xl/sharedStrings.xml><?xml version="1.0" encoding="utf-8"?>
<sst xmlns="http://schemas.openxmlformats.org/spreadsheetml/2006/main" count="308" uniqueCount="143">
  <si>
    <t>Incerteza Padrão</t>
  </si>
  <si>
    <t>∞</t>
  </si>
  <si>
    <t>mL</t>
  </si>
  <si>
    <t>mg/L</t>
  </si>
  <si>
    <t>Dados</t>
  </si>
  <si>
    <t>Incerteza ±</t>
  </si>
  <si>
    <t>S</t>
  </si>
  <si>
    <t>Massa de amostra (g)</t>
  </si>
  <si>
    <t>Incerteza da balança (g)</t>
  </si>
  <si>
    <t>C pad</t>
  </si>
  <si>
    <t>C obs</t>
  </si>
  <si>
    <t>Incerteza Conc Obs</t>
  </si>
  <si>
    <t>incerteza</t>
  </si>
  <si>
    <t>Parâmetro</t>
  </si>
  <si>
    <t>Padrão Concentrado</t>
  </si>
  <si>
    <t>Valor Padrão Diluído</t>
  </si>
  <si>
    <t>pipeta para diluição 1</t>
  </si>
  <si>
    <t>pipeta para diluição 2</t>
  </si>
  <si>
    <t>balão para diluição 2</t>
  </si>
  <si>
    <t>balão para diluição 1</t>
  </si>
  <si>
    <t>Unidade</t>
  </si>
  <si>
    <t>Valor</t>
  </si>
  <si>
    <t>Resultado (mg/Kg)</t>
  </si>
  <si>
    <t>CV:</t>
  </si>
  <si>
    <t>Símbolo</t>
  </si>
  <si>
    <t>Nome</t>
  </si>
  <si>
    <t>Incerteza</t>
  </si>
  <si>
    <t>divisor</t>
  </si>
  <si>
    <t>Incerteza padrâo</t>
  </si>
  <si>
    <t>GL</t>
  </si>
  <si>
    <r>
      <t>u</t>
    </r>
    <r>
      <rPr>
        <vertAlign val="subscript"/>
        <sz val="10"/>
        <rFont val="Arial"/>
        <family val="2"/>
      </rPr>
      <t>95,balão,B</t>
    </r>
  </si>
  <si>
    <t>Incerteza Padrão do balão</t>
  </si>
  <si>
    <r>
      <t>u</t>
    </r>
    <r>
      <rPr>
        <vertAlign val="subscript"/>
        <sz val="10"/>
        <rFont val="Arial"/>
        <family val="2"/>
      </rPr>
      <t>ΔTamb balão,B</t>
    </r>
  </si>
  <si>
    <t>Variação Balão Temp. Ambiente</t>
  </si>
  <si>
    <r>
      <t>u</t>
    </r>
    <r>
      <rPr>
        <vertAlign val="subscript"/>
        <sz val="10"/>
        <rFont val="Arial"/>
        <family val="2"/>
      </rPr>
      <t>balão</t>
    </r>
  </si>
  <si>
    <t>Incerteza Padrão do Balão</t>
  </si>
  <si>
    <t>Incerteza da concentração da amostra</t>
  </si>
  <si>
    <r>
      <t>u</t>
    </r>
    <r>
      <rPr>
        <vertAlign val="subscript"/>
        <sz val="10"/>
        <rFont val="Arial"/>
        <family val="2"/>
      </rPr>
      <t>95,pipeta,B</t>
    </r>
  </si>
  <si>
    <t>Incerteza Padrão da pipeta</t>
  </si>
  <si>
    <r>
      <t>u</t>
    </r>
    <r>
      <rPr>
        <vertAlign val="subscript"/>
        <sz val="10"/>
        <rFont val="Arial"/>
        <family val="2"/>
      </rPr>
      <t>ΔTamb pipeta,B</t>
    </r>
  </si>
  <si>
    <r>
      <t xml:space="preserve">Repetibilidade 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(CV %)</t>
    </r>
  </si>
  <si>
    <t>Repetibilidade - tipo A</t>
  </si>
  <si>
    <t>Incerteza da pipeta</t>
  </si>
  <si>
    <t>Variação pipeta Temp. Ambiente</t>
  </si>
  <si>
    <r>
      <t>u</t>
    </r>
    <r>
      <rPr>
        <vertAlign val="subscript"/>
        <sz val="10"/>
        <rFont val="Arial"/>
        <family val="2"/>
      </rPr>
      <t>pipeta,B</t>
    </r>
  </si>
  <si>
    <r>
      <t>u</t>
    </r>
    <r>
      <rPr>
        <vertAlign val="subscript"/>
        <sz val="10"/>
        <rFont val="Arial"/>
        <family val="2"/>
      </rPr>
      <t>Fdil,B</t>
    </r>
  </si>
  <si>
    <t>Incerteza Fator de Diluição</t>
  </si>
  <si>
    <r>
      <t>u</t>
    </r>
    <r>
      <rPr>
        <vertAlign val="subscript"/>
        <sz val="10"/>
        <rFont val="Arial"/>
        <family val="2"/>
      </rPr>
      <t>95,balão 2,B</t>
    </r>
  </si>
  <si>
    <r>
      <t>u</t>
    </r>
    <r>
      <rPr>
        <vertAlign val="subscript"/>
        <sz val="10"/>
        <rFont val="Arial"/>
        <family val="2"/>
      </rPr>
      <t>ΔTamb balão 2,B</t>
    </r>
  </si>
  <si>
    <t>Incerteza Padrão do balão 2</t>
  </si>
  <si>
    <t>Variação balão  Temp. Ambiente</t>
  </si>
  <si>
    <r>
      <t>u</t>
    </r>
    <r>
      <rPr>
        <vertAlign val="subscript"/>
        <sz val="10"/>
        <rFont val="Arial"/>
        <family val="2"/>
      </rPr>
      <t>balão 2</t>
    </r>
  </si>
  <si>
    <t>C (M)</t>
  </si>
  <si>
    <r>
      <t>u</t>
    </r>
    <r>
      <rPr>
        <vertAlign val="subscript"/>
        <sz val="10"/>
        <rFont val="Arial"/>
        <family val="2"/>
      </rPr>
      <t>95,balão 1,B</t>
    </r>
  </si>
  <si>
    <r>
      <t>u</t>
    </r>
    <r>
      <rPr>
        <vertAlign val="subscript"/>
        <sz val="10"/>
        <rFont val="Arial"/>
        <family val="2"/>
      </rPr>
      <t>ΔTamb pipeta 1,B</t>
    </r>
  </si>
  <si>
    <r>
      <t>u</t>
    </r>
    <r>
      <rPr>
        <vertAlign val="subscript"/>
        <sz val="10"/>
        <rFont val="Arial"/>
        <family val="2"/>
      </rPr>
      <t>ΔTamb balão 1,B</t>
    </r>
  </si>
  <si>
    <r>
      <t>u</t>
    </r>
    <r>
      <rPr>
        <vertAlign val="subscript"/>
        <sz val="10"/>
        <rFont val="Arial"/>
        <family val="2"/>
      </rPr>
      <t>balão 1</t>
    </r>
  </si>
  <si>
    <r>
      <t>u</t>
    </r>
    <r>
      <rPr>
        <vertAlign val="subscript"/>
        <sz val="10"/>
        <rFont val="Arial"/>
        <family val="2"/>
      </rPr>
      <t>95,pipeta 1,B</t>
    </r>
  </si>
  <si>
    <r>
      <t>u</t>
    </r>
    <r>
      <rPr>
        <vertAlign val="subscript"/>
        <sz val="10"/>
        <rFont val="Arial"/>
        <family val="2"/>
      </rPr>
      <t>pipeta 1</t>
    </r>
  </si>
  <si>
    <t>Incerteza do balão 1</t>
  </si>
  <si>
    <t>Variação balão 1 Temp. Ambiente</t>
  </si>
  <si>
    <t>Incerteza Padrão do balão1</t>
  </si>
  <si>
    <t>Incerteza Padrão da pipeta 1</t>
  </si>
  <si>
    <t>Variação Pipeta 1 Temp. Ambiente</t>
  </si>
  <si>
    <t>Incerteza Padrão da Pipeta 1</t>
  </si>
  <si>
    <t>Incerteza do balão 2</t>
  </si>
  <si>
    <t>Variação balão 2 Temp. Ambiente</t>
  </si>
  <si>
    <t>Incerteza Padrão do balão2</t>
  </si>
  <si>
    <t>Incerteza Padrão da pipeta 2</t>
  </si>
  <si>
    <t>Variação Pipeta 2 Temp. Ambiente</t>
  </si>
  <si>
    <t>Incerteza Padrão da Pipeta 2</t>
  </si>
  <si>
    <r>
      <t>u</t>
    </r>
    <r>
      <rPr>
        <vertAlign val="subscript"/>
        <sz val="10"/>
        <rFont val="Arial"/>
        <family val="2"/>
      </rPr>
      <t>95,pipeta 2,B</t>
    </r>
  </si>
  <si>
    <r>
      <t>u</t>
    </r>
    <r>
      <rPr>
        <vertAlign val="subscript"/>
        <sz val="10"/>
        <rFont val="Arial"/>
        <family val="2"/>
      </rPr>
      <t>ΔTamb pipeta 2,B</t>
    </r>
  </si>
  <si>
    <r>
      <t>u</t>
    </r>
    <r>
      <rPr>
        <vertAlign val="subscript"/>
        <sz val="10"/>
        <rFont val="Arial"/>
        <family val="2"/>
      </rPr>
      <t>pipeta 2</t>
    </r>
  </si>
  <si>
    <t>F cal</t>
  </si>
  <si>
    <t>Fator de calibração</t>
  </si>
  <si>
    <t>Repê</t>
  </si>
  <si>
    <r>
      <t>u</t>
    </r>
    <r>
      <rPr>
        <vertAlign val="subscript"/>
        <sz val="10"/>
        <rFont val="Arial"/>
        <family val="2"/>
      </rPr>
      <t>95, balança, B</t>
    </r>
  </si>
  <si>
    <r>
      <t>u</t>
    </r>
    <r>
      <rPr>
        <vertAlign val="subscript"/>
        <sz val="10"/>
        <rFont val="Arial"/>
        <family val="2"/>
      </rPr>
      <t>res, balança, B</t>
    </r>
  </si>
  <si>
    <r>
      <t>u</t>
    </r>
    <r>
      <rPr>
        <vertAlign val="subscript"/>
        <sz val="10"/>
        <rFont val="Arial"/>
        <family val="2"/>
      </rPr>
      <t>exc, balança, B</t>
    </r>
  </si>
  <si>
    <r>
      <t>u</t>
    </r>
    <r>
      <rPr>
        <vertAlign val="subscript"/>
        <sz val="10"/>
        <rFont val="Arial"/>
        <family val="2"/>
      </rPr>
      <t>tempo, balança, B</t>
    </r>
  </si>
  <si>
    <r>
      <t>u</t>
    </r>
    <r>
      <rPr>
        <vertAlign val="subscript"/>
        <sz val="10"/>
        <rFont val="Arial"/>
        <family val="2"/>
      </rPr>
      <t>balança</t>
    </r>
  </si>
  <si>
    <r>
      <t>u</t>
    </r>
    <r>
      <rPr>
        <vertAlign val="subscript"/>
        <sz val="10"/>
        <rFont val="Arial"/>
        <family val="2"/>
      </rPr>
      <t>ΔTamb, balança, B</t>
    </r>
  </si>
  <si>
    <t>Incerteza da balança</t>
  </si>
  <si>
    <t>Variação Balança Temp. Ambiente</t>
  </si>
  <si>
    <t>Efeito de Excentricidade</t>
  </si>
  <si>
    <t>Variação indicação f (tempo)</t>
  </si>
  <si>
    <t>Resolução limitada da balança</t>
  </si>
  <si>
    <r>
      <t>F</t>
    </r>
    <r>
      <rPr>
        <vertAlign val="subscript"/>
        <sz val="10"/>
        <rFont val="Arial"/>
        <family val="2"/>
      </rPr>
      <t>cal</t>
    </r>
  </si>
  <si>
    <t>Cr</t>
  </si>
  <si>
    <t>Cu</t>
  </si>
  <si>
    <t>Fe</t>
  </si>
  <si>
    <t>Mn</t>
  </si>
  <si>
    <t>Ni</t>
  </si>
  <si>
    <t>Pb</t>
  </si>
  <si>
    <t>Zn</t>
  </si>
  <si>
    <t>Analito</t>
  </si>
  <si>
    <t>Variação no resultado</t>
  </si>
  <si>
    <t>Resíduos</t>
  </si>
  <si>
    <t>Quadrado dos Resíduos</t>
  </si>
  <si>
    <t>Soma dos Quadrados</t>
  </si>
  <si>
    <t>Contribuição</t>
  </si>
  <si>
    <t>Valores</t>
  </si>
  <si>
    <t>sC(M)</t>
  </si>
  <si>
    <r>
      <t>su</t>
    </r>
    <r>
      <rPr>
        <vertAlign val="subscript"/>
        <sz val="10"/>
        <rFont val="Arial"/>
        <family val="2"/>
      </rPr>
      <t>balão 2</t>
    </r>
  </si>
  <si>
    <r>
      <t>sF</t>
    </r>
    <r>
      <rPr>
        <vertAlign val="subscript"/>
        <sz val="10"/>
        <rFont val="Arial"/>
        <family val="2"/>
      </rPr>
      <t>cal</t>
    </r>
  </si>
  <si>
    <r>
      <t>su</t>
    </r>
    <r>
      <rPr>
        <vertAlign val="subscript"/>
        <sz val="10"/>
        <rFont val="Arial"/>
        <family val="2"/>
      </rPr>
      <t>balança</t>
    </r>
  </si>
  <si>
    <t>sRepê</t>
  </si>
  <si>
    <t>-</t>
  </si>
  <si>
    <r>
      <t>Graus de liberdade (</t>
    </r>
    <r>
      <rPr>
        <sz val="10"/>
        <rFont val="Symbol"/>
        <family val="1"/>
        <charset val="2"/>
      </rPr>
      <t>u</t>
    </r>
    <r>
      <rPr>
        <vertAlign val="subscript"/>
        <sz val="10"/>
        <rFont val="Arial"/>
        <family val="2"/>
      </rPr>
      <t>eff)</t>
    </r>
  </si>
  <si>
    <t>Fator de abrangência (k)</t>
  </si>
  <si>
    <r>
      <t xml:space="preserve"> Incerteza expandida (U) (Probab. </t>
    </r>
    <r>
      <rPr>
        <sz val="10"/>
        <rFont val="Symbol"/>
        <family val="1"/>
        <charset val="2"/>
      </rPr>
      <t>@</t>
    </r>
    <r>
      <rPr>
        <sz val="10"/>
        <rFont val="Arial"/>
        <family val="2"/>
      </rPr>
      <t xml:space="preserve"> 95%)</t>
    </r>
  </si>
  <si>
    <t>%</t>
  </si>
  <si>
    <r>
      <t>Incerteza Padrão combinada (u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)</t>
    </r>
  </si>
  <si>
    <t>Calibração</t>
  </si>
  <si>
    <t>Determinação da concentração de metais (mg/kg) em solo e sedimento</t>
  </si>
  <si>
    <t>N</t>
  </si>
  <si>
    <t>RSD</t>
  </si>
  <si>
    <t>RSD ICP (%)</t>
  </si>
  <si>
    <t xml:space="preserve">  SETOR: Química Analítica</t>
  </si>
  <si>
    <t>Modelo:</t>
  </si>
  <si>
    <t>Repê - CV (%)</t>
  </si>
  <si>
    <t>resultado ICP (mg/L)</t>
  </si>
  <si>
    <r>
      <t xml:space="preserve">Diluição da amostra </t>
    </r>
    <r>
      <rPr>
        <b/>
        <sz val="10"/>
        <rFont val="Arial"/>
        <family val="2"/>
      </rPr>
      <t>Selecione S/N</t>
    </r>
  </si>
  <si>
    <t>PN-LAPOC-7011 - Leitura em ICP-OES para determinação de metais bio-disponíveis em solo e sedimento</t>
  </si>
  <si>
    <t>INCERTEZA DA DETERMINAÇÃO DE METAIS BIO-DISPONÍVEIS EM SOLO E SEDIMENTO</t>
  </si>
  <si>
    <t>Nº Revisão: 00</t>
  </si>
  <si>
    <t>Modelo com diluição:</t>
  </si>
  <si>
    <t>Modelo sem diluição:</t>
  </si>
  <si>
    <t>PN-LAPOC-7003 - Digestão de solo e sedimento para determinação de metais bio-disponíveis</t>
  </si>
  <si>
    <t>n</t>
  </si>
  <si>
    <t>n Medidas</t>
  </si>
  <si>
    <t>Volume do balão com amostra digerida (mL)</t>
  </si>
  <si>
    <t>Incerteza do balão (mL)</t>
  </si>
  <si>
    <t>Alíquota para diluição (mL)</t>
  </si>
  <si>
    <t>Incerteza da pipeta para diluição (mL)</t>
  </si>
  <si>
    <t>Volume do balão da diluição (mL)</t>
  </si>
  <si>
    <t>Incerteza do balão da diluição (mL)</t>
  </si>
  <si>
    <t>Determinação da concentração de metais (mg/kg) em solo e sedimento - Fator de calibração (ponto único)</t>
  </si>
  <si>
    <t>Data de Emissão: 10/02/2014</t>
  </si>
  <si>
    <t>Emitido por: Rodrigo Leandro Bonifácio</t>
  </si>
  <si>
    <t>(FT-LAPOC-7011-04)</t>
  </si>
  <si>
    <t>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</si>
</sst>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%"/>
    <numFmt numFmtId="167" formatCode="0.000000"/>
    <numFmt numFmtId="168" formatCode="0.0"/>
    <numFmt numFmtId="169" formatCode="0.0000%"/>
  </numFmts>
  <fonts count="20" x14ac:knownFonts="1">
    <font>
      <sz val="10"/>
      <name val="Arial"/>
    </font>
    <font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5" fontId="6" fillId="0" borderId="0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Protection="1">
      <protection locked="0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0" fillId="0" borderId="0" xfId="0" applyFont="1" applyFill="1" applyAlignment="1"/>
    <xf numFmtId="166" fontId="16" fillId="0" borderId="0" xfId="1" applyNumberFormat="1" applyFont="1" applyAlignment="1">
      <alignment horizontal="left"/>
    </xf>
    <xf numFmtId="0" fontId="16" fillId="0" borderId="0" xfId="0" applyFont="1" applyFill="1" applyBorder="1" applyAlignment="1" applyProtection="1">
      <alignment horizontal="right"/>
      <protection locked="0"/>
    </xf>
    <xf numFmtId="0" fontId="6" fillId="4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169" fontId="0" fillId="0" borderId="0" xfId="1" applyNumberFormat="1" applyFont="1"/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7" fontId="0" fillId="0" borderId="1" xfId="0" applyNumberForma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1" applyNumberFormat="1" applyFont="1" applyBorder="1"/>
    <xf numFmtId="2" fontId="0" fillId="0" borderId="1" xfId="0" applyNumberFormat="1" applyBorder="1"/>
    <xf numFmtId="168" fontId="16" fillId="5" borderId="1" xfId="0" applyNumberFormat="1" applyFont="1" applyFill="1" applyBorder="1" applyAlignment="1">
      <alignment horizontal="center" vertical="center"/>
    </xf>
    <xf numFmtId="11" fontId="0" fillId="0" borderId="1" xfId="0" applyNumberFormat="1" applyBorder="1"/>
    <xf numFmtId="0" fontId="0" fillId="0" borderId="2" xfId="0" applyBorder="1"/>
    <xf numFmtId="166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16" fillId="4" borderId="1" xfId="0" applyFont="1" applyFill="1" applyBorder="1"/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Fill="1"/>
    <xf numFmtId="0" fontId="5" fillId="0" borderId="0" xfId="0" applyFont="1" applyFill="1" applyBorder="1"/>
    <xf numFmtId="164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/>
    <xf numFmtId="0" fontId="11" fillId="0" borderId="0" xfId="0" applyFont="1" applyFill="1" applyBorder="1"/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68" fontId="1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6" fillId="0" borderId="0" xfId="0" applyFont="1"/>
    <xf numFmtId="0" fontId="12" fillId="0" borderId="0" xfId="0" applyFont="1"/>
    <xf numFmtId="0" fontId="12" fillId="0" borderId="0" xfId="0" applyFont="1" applyFill="1"/>
    <xf numFmtId="166" fontId="0" fillId="6" borderId="1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0" borderId="12" xfId="0" applyFont="1" applyBorder="1"/>
    <xf numFmtId="0" fontId="1" fillId="0" borderId="8" xfId="0" applyFont="1" applyBorder="1"/>
    <xf numFmtId="0" fontId="9" fillId="0" borderId="0" xfId="0" applyFont="1" applyFill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64" fontId="1" fillId="6" borderId="1" xfId="0" applyNumberFormat="1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64" fontId="1" fillId="6" borderId="1" xfId="0" applyNumberFormat="1" applyFont="1" applyFill="1" applyBorder="1" applyAlignment="1" applyProtection="1">
      <alignment horizontal="left" vertical="center" wrapText="1"/>
      <protection locked="0"/>
    </xf>
    <xf numFmtId="2" fontId="0" fillId="6" borderId="1" xfId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10" fontId="0" fillId="6" borderId="1" xfId="1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64" fontId="1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166" fontId="0" fillId="0" borderId="1" xfId="1" applyNumberFormat="1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/>
      <protection locked="0"/>
    </xf>
    <xf numFmtId="166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Protection="1">
      <protection locked="0"/>
    </xf>
    <xf numFmtId="0" fontId="12" fillId="6" borderId="1" xfId="0" applyFont="1" applyFill="1" applyBorder="1" applyProtection="1"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168" fontId="0" fillId="6" borderId="1" xfId="0" applyNumberForma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center"/>
    </xf>
    <xf numFmtId="1" fontId="0" fillId="0" borderId="1" xfId="1" applyNumberFormat="1" applyFont="1" applyFill="1" applyBorder="1" applyAlignment="1" applyProtection="1">
      <alignment horizontal="center"/>
    </xf>
    <xf numFmtId="168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/>
    </xf>
    <xf numFmtId="0" fontId="17" fillId="0" borderId="4" xfId="0" applyFont="1" applyBorder="1" applyAlignment="1"/>
    <xf numFmtId="0" fontId="9" fillId="0" borderId="0" xfId="0" applyFont="1" applyFill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left"/>
      <protection locked="0"/>
    </xf>
    <xf numFmtId="165" fontId="6" fillId="0" borderId="5" xfId="0" applyNumberFormat="1" applyFont="1" applyFill="1" applyBorder="1" applyAlignment="1" applyProtection="1">
      <alignment horizontal="left"/>
      <protection locked="0"/>
    </xf>
    <xf numFmtId="165" fontId="6" fillId="0" borderId="4" xfId="0" applyNumberFormat="1" applyFont="1" applyFill="1" applyBorder="1" applyAlignment="1" applyProtection="1">
      <alignment horizontal="left"/>
      <protection locked="0"/>
    </xf>
    <xf numFmtId="165" fontId="6" fillId="0" borderId="6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6" fillId="0" borderId="6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2">
    <dxf>
      <font>
        <color theme="0"/>
      </font>
    </dxf>
    <dxf>
      <font>
        <b val="0"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0" dropStyle="combo" dx="16" fmlaLink="$A$28" fmlaRange="$I$16:$I$2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</xdr:row>
      <xdr:rowOff>79375</xdr:rowOff>
    </xdr:from>
    <xdr:to>
      <xdr:col>11</xdr:col>
      <xdr:colOff>200025</xdr:colOff>
      <xdr:row>6</xdr:row>
      <xdr:rowOff>88900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460375"/>
          <a:ext cx="19812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9</xdr:row>
          <xdr:rowOff>95250</xdr:rowOff>
        </xdr:from>
        <xdr:to>
          <xdr:col>5</xdr:col>
          <xdr:colOff>428625</xdr:colOff>
          <xdr:row>13</xdr:row>
          <xdr:rowOff>19050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19050</xdr:rowOff>
        </xdr:from>
        <xdr:to>
          <xdr:col>0</xdr:col>
          <xdr:colOff>1000125</xdr:colOff>
          <xdr:row>27</xdr:row>
          <xdr:rowOff>171450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9</xdr:row>
          <xdr:rowOff>76200</xdr:rowOff>
        </xdr:from>
        <xdr:to>
          <xdr:col>10</xdr:col>
          <xdr:colOff>466725</xdr:colOff>
          <xdr:row>12</xdr:row>
          <xdr:rowOff>133350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3</xdr:row>
      <xdr:rowOff>69850</xdr:rowOff>
    </xdr:from>
    <xdr:to>
      <xdr:col>11</xdr:col>
      <xdr:colOff>228601</xdr:colOff>
      <xdr:row>6</xdr:row>
      <xdr:rowOff>79375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6" y="584200"/>
          <a:ext cx="1809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</xdr:row>
          <xdr:rowOff>38100</xdr:rowOff>
        </xdr:from>
        <xdr:to>
          <xdr:col>6</xdr:col>
          <xdr:colOff>447675</xdr:colOff>
          <xdr:row>12</xdr:row>
          <xdr:rowOff>76200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69850</xdr:rowOff>
    </xdr:from>
    <xdr:to>
      <xdr:col>10</xdr:col>
      <xdr:colOff>904875</xdr:colOff>
      <xdr:row>6</xdr:row>
      <xdr:rowOff>79375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584200"/>
          <a:ext cx="2143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10</xdr:row>
          <xdr:rowOff>28575</xdr:rowOff>
        </xdr:from>
        <xdr:to>
          <xdr:col>7</xdr:col>
          <xdr:colOff>76200</xdr:colOff>
          <xdr:row>13</xdr:row>
          <xdr:rowOff>104775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</xdr:row>
      <xdr:rowOff>69850</xdr:rowOff>
    </xdr:from>
    <xdr:to>
      <xdr:col>10</xdr:col>
      <xdr:colOff>904875</xdr:colOff>
      <xdr:row>6</xdr:row>
      <xdr:rowOff>79375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025" y="584200"/>
          <a:ext cx="2143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</xdr:row>
          <xdr:rowOff>85725</xdr:rowOff>
        </xdr:from>
        <xdr:to>
          <xdr:col>5</xdr:col>
          <xdr:colOff>590550</xdr:colOff>
          <xdr:row>13</xdr:row>
          <xdr:rowOff>28575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1.32\Pastas\tecnica\GERENCIA%20DA%20QUALIDADE\17025\DocsInternos\QA\Users\rbonifacio\Documents\17025\IncertezasRevistasKragen\IncertezaThKragen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Reta"/>
      <sheetName val="Full"/>
      <sheetName val="NoBlk"/>
      <sheetName val="NoBlkNoConc"/>
    </sheetNames>
    <sheetDataSet>
      <sheetData sheetId="0" refreshError="1"/>
      <sheetData sheetId="1">
        <row r="17">
          <cell r="B17">
            <v>5</v>
          </cell>
        </row>
        <row r="22">
          <cell r="B22">
            <v>6.6252509884501043</v>
          </cell>
        </row>
        <row r="24">
          <cell r="B24">
            <v>-0.22786087626149051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4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5.emf"/><Relationship Id="rId4" Type="http://schemas.openxmlformats.org/officeDocument/2006/relationships/oleObject" Target="../embeddings/oleObject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image" Target="../media/image6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Z516"/>
  <sheetViews>
    <sheetView showGridLines="0" tabSelected="1" workbookViewId="0">
      <selection activeCell="D38" sqref="D38"/>
    </sheetView>
  </sheetViews>
  <sheetFormatPr defaultRowHeight="12.75" x14ac:dyDescent="0.2"/>
  <cols>
    <col min="1" max="1" width="19" customWidth="1"/>
    <col min="2" max="2" width="10.85546875" customWidth="1"/>
    <col min="3" max="3" width="11.42578125" customWidth="1"/>
    <col min="4" max="4" width="15.85546875" customWidth="1"/>
    <col min="5" max="5" width="10.7109375" customWidth="1"/>
    <col min="6" max="6" width="14" customWidth="1"/>
    <col min="7" max="7" width="12.85546875" customWidth="1"/>
    <col min="8" max="8" width="13.42578125" customWidth="1"/>
    <col min="9" max="9" width="12.28515625" customWidth="1"/>
    <col min="10" max="10" width="12.5703125" customWidth="1"/>
    <col min="11" max="11" width="11.7109375" customWidth="1"/>
    <col min="12" max="12" width="9.85546875" customWidth="1"/>
    <col min="13" max="13" width="6.42578125" customWidth="1"/>
    <col min="14" max="14" width="8" customWidth="1"/>
    <col min="15" max="15" width="9.28515625" customWidth="1"/>
    <col min="16" max="16" width="9.140625" customWidth="1"/>
  </cols>
  <sheetData>
    <row r="1" spans="1:26" x14ac:dyDescent="0.2">
      <c r="A1" s="70" t="s">
        <v>129</v>
      </c>
      <c r="B1" s="71"/>
      <c r="C1" s="71"/>
      <c r="D1" s="71"/>
      <c r="E1" s="71"/>
      <c r="F1" s="71"/>
      <c r="G1" s="71"/>
      <c r="H1" s="76" t="s">
        <v>141</v>
      </c>
      <c r="I1" s="71"/>
      <c r="J1" s="71"/>
      <c r="K1" s="71"/>
      <c r="L1" s="72"/>
    </row>
    <row r="2" spans="1:26" x14ac:dyDescent="0.2">
      <c r="A2" s="75" t="s">
        <v>124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26" ht="15" x14ac:dyDescent="0.25">
      <c r="A3" s="117"/>
      <c r="B3" s="117"/>
      <c r="C3" s="117"/>
      <c r="D3" s="117"/>
      <c r="E3" s="117"/>
      <c r="F3" s="67"/>
      <c r="G3" s="67"/>
      <c r="H3" s="67"/>
    </row>
    <row r="4" spans="1:26" ht="12.75" customHeight="1" x14ac:dyDescent="0.2">
      <c r="A4" s="119" t="s">
        <v>125</v>
      </c>
      <c r="B4" s="120"/>
      <c r="C4" s="120"/>
      <c r="D4" s="120"/>
      <c r="E4" s="121"/>
      <c r="F4" s="119" t="s">
        <v>119</v>
      </c>
      <c r="G4" s="120"/>
      <c r="H4" s="121"/>
      <c r="I4" s="128"/>
      <c r="J4" s="129"/>
      <c r="K4" s="129"/>
      <c r="L4" s="130"/>
    </row>
    <row r="5" spans="1:26" ht="12.75" customHeight="1" x14ac:dyDescent="0.2">
      <c r="A5" s="122"/>
      <c r="B5" s="123"/>
      <c r="C5" s="123"/>
      <c r="D5" s="123"/>
      <c r="E5" s="124"/>
      <c r="F5" s="122"/>
      <c r="G5" s="123"/>
      <c r="H5" s="124"/>
      <c r="I5" s="131"/>
      <c r="J5" s="132"/>
      <c r="K5" s="132"/>
      <c r="L5" s="133"/>
      <c r="Z5" s="64" t="s">
        <v>116</v>
      </c>
    </row>
    <row r="6" spans="1:26" ht="12.75" customHeight="1" x14ac:dyDescent="0.2">
      <c r="A6" s="122"/>
      <c r="B6" s="123"/>
      <c r="C6" s="123"/>
      <c r="D6" s="123"/>
      <c r="E6" s="124"/>
      <c r="F6" s="122"/>
      <c r="G6" s="123"/>
      <c r="H6" s="124"/>
      <c r="I6" s="131"/>
      <c r="J6" s="132"/>
      <c r="K6" s="132"/>
      <c r="L6" s="133"/>
      <c r="Z6" s="63" t="s">
        <v>6</v>
      </c>
    </row>
    <row r="7" spans="1:26" ht="12.75" customHeight="1" x14ac:dyDescent="0.2">
      <c r="A7" s="125"/>
      <c r="B7" s="126"/>
      <c r="C7" s="126"/>
      <c r="D7" s="126"/>
      <c r="E7" s="127"/>
      <c r="F7" s="125"/>
      <c r="G7" s="126"/>
      <c r="H7" s="127"/>
      <c r="I7" s="134"/>
      <c r="J7" s="135"/>
      <c r="K7" s="135"/>
      <c r="L7" s="136"/>
      <c r="O7" s="64"/>
    </row>
    <row r="8" spans="1:26" ht="12.75" customHeight="1" x14ac:dyDescent="0.2">
      <c r="O8" s="64"/>
    </row>
    <row r="9" spans="1:26" ht="15.75" x14ac:dyDescent="0.2">
      <c r="A9" s="118" t="s">
        <v>115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68"/>
      <c r="N9" s="68"/>
    </row>
    <row r="10" spans="1:26" s="4" customFormat="1" ht="14.25" customHeight="1" x14ac:dyDescent="0.25">
      <c r="A10" s="50"/>
      <c r="B10" s="51"/>
      <c r="C10" s="52"/>
      <c r="D10" s="50"/>
      <c r="E10" s="50"/>
      <c r="F10" s="50"/>
      <c r="G10" s="50"/>
      <c r="H10" s="50"/>
      <c r="I10" s="50"/>
      <c r="J10" s="53"/>
      <c r="K10" s="3"/>
      <c r="L10" s="3"/>
      <c r="M10" s="3"/>
      <c r="N10" s="3"/>
      <c r="O10" s="65"/>
      <c r="P10" s="49"/>
    </row>
    <row r="11" spans="1:26" s="4" customFormat="1" ht="14.25" customHeight="1" x14ac:dyDescent="0.25">
      <c r="A11" s="50"/>
      <c r="B11" s="51"/>
      <c r="C11" s="52"/>
      <c r="D11" s="50"/>
      <c r="E11" s="50"/>
      <c r="F11" s="50"/>
      <c r="G11" s="50"/>
      <c r="H11" s="50"/>
      <c r="I11" s="50"/>
      <c r="J11" s="53"/>
      <c r="K11" s="3"/>
      <c r="L11" s="3"/>
      <c r="M11" s="3"/>
      <c r="N11" s="3"/>
      <c r="O11" s="65"/>
      <c r="P11" s="49"/>
    </row>
    <row r="12" spans="1:26" s="4" customFormat="1" ht="14.25" customHeight="1" x14ac:dyDescent="0.2">
      <c r="A12" s="69"/>
      <c r="B12" s="69" t="s">
        <v>127</v>
      </c>
      <c r="E12" s="50"/>
      <c r="F12" s="79"/>
      <c r="G12" s="48" t="s">
        <v>128</v>
      </c>
      <c r="I12" s="50"/>
      <c r="J12" s="53"/>
      <c r="K12" s="3"/>
      <c r="L12" s="3"/>
      <c r="M12" s="3"/>
      <c r="N12" s="3"/>
      <c r="O12" s="65"/>
      <c r="P12" s="49"/>
    </row>
    <row r="13" spans="1:26" s="4" customFormat="1" ht="14.25" customHeight="1" x14ac:dyDescent="0.2">
      <c r="A13" s="50"/>
      <c r="B13" s="51"/>
      <c r="C13" s="69"/>
      <c r="D13" s="69"/>
      <c r="E13" s="50"/>
      <c r="F13" s="50"/>
      <c r="G13" s="50"/>
      <c r="H13" s="50"/>
      <c r="I13" s="50"/>
      <c r="J13" s="53"/>
      <c r="K13" s="3"/>
      <c r="L13" s="3"/>
      <c r="M13" s="3"/>
      <c r="N13" s="3"/>
      <c r="O13" s="65"/>
      <c r="P13" s="49"/>
    </row>
    <row r="15" spans="1:26" ht="15" x14ac:dyDescent="0.25">
      <c r="A15" s="137" t="s">
        <v>114</v>
      </c>
      <c r="B15" s="137"/>
      <c r="C15" s="137"/>
      <c r="D15" s="137"/>
      <c r="E15" s="137"/>
      <c r="F15" s="23"/>
      <c r="G15" s="23"/>
      <c r="H15" s="23"/>
      <c r="I15" s="111" t="s">
        <v>96</v>
      </c>
      <c r="J15" s="111" t="s">
        <v>121</v>
      </c>
      <c r="K15" s="111" t="s">
        <v>131</v>
      </c>
    </row>
    <row r="16" spans="1:26" x14ac:dyDescent="0.2">
      <c r="H16" s="3"/>
      <c r="I16" s="112" t="s">
        <v>142</v>
      </c>
      <c r="J16" s="113">
        <v>0.11799999999999999</v>
      </c>
      <c r="K16" s="114">
        <v>3</v>
      </c>
    </row>
    <row r="17" spans="1:16" x14ac:dyDescent="0.2">
      <c r="A17" s="57" t="s">
        <v>13</v>
      </c>
      <c r="B17" s="57" t="s">
        <v>21</v>
      </c>
      <c r="C17" s="57" t="s">
        <v>117</v>
      </c>
      <c r="D17" s="57" t="s">
        <v>12</v>
      </c>
      <c r="E17" s="57" t="s">
        <v>20</v>
      </c>
      <c r="F17" s="2"/>
      <c r="G17" s="138"/>
      <c r="H17" s="138"/>
      <c r="I17" s="112" t="s">
        <v>89</v>
      </c>
      <c r="J17" s="113">
        <v>0.04</v>
      </c>
      <c r="K17" s="114">
        <v>3</v>
      </c>
    </row>
    <row r="18" spans="1:16" ht="15" x14ac:dyDescent="0.25">
      <c r="A18" s="21" t="s">
        <v>14</v>
      </c>
      <c r="B18" s="105">
        <v>1000</v>
      </c>
      <c r="C18" s="15" t="s">
        <v>108</v>
      </c>
      <c r="D18" s="105">
        <v>6</v>
      </c>
      <c r="E18" s="107" t="s">
        <v>3</v>
      </c>
      <c r="F18" s="2"/>
      <c r="G18" s="19"/>
      <c r="H18" s="20"/>
      <c r="I18" s="112" t="s">
        <v>90</v>
      </c>
      <c r="J18" s="113">
        <v>1.9E-2</v>
      </c>
      <c r="K18" s="114">
        <v>3</v>
      </c>
      <c r="P18" s="13"/>
    </row>
    <row r="19" spans="1:16" x14ac:dyDescent="0.2">
      <c r="A19" s="22" t="s">
        <v>15</v>
      </c>
      <c r="B19" s="105">
        <f>1000*B20/B21*B22/B23</f>
        <v>5</v>
      </c>
      <c r="C19" s="106">
        <v>6.0000000000000001E-3</v>
      </c>
      <c r="D19" s="116">
        <f>C19*B19</f>
        <v>0.03</v>
      </c>
      <c r="E19" s="107" t="s">
        <v>3</v>
      </c>
      <c r="F19" s="2"/>
      <c r="G19" s="9"/>
      <c r="H19" s="2"/>
      <c r="I19" s="112" t="s">
        <v>91</v>
      </c>
      <c r="J19" s="113">
        <v>2.7E-2</v>
      </c>
      <c r="K19" s="114">
        <v>3</v>
      </c>
    </row>
    <row r="20" spans="1:16" x14ac:dyDescent="0.2">
      <c r="A20" s="22" t="s">
        <v>16</v>
      </c>
      <c r="B20" s="105">
        <v>25</v>
      </c>
      <c r="C20" s="31" t="s">
        <v>108</v>
      </c>
      <c r="D20" s="105">
        <v>7.0000000000000001E-3</v>
      </c>
      <c r="E20" s="107" t="s">
        <v>2</v>
      </c>
      <c r="H20" s="2"/>
      <c r="I20" s="112" t="s">
        <v>92</v>
      </c>
      <c r="J20" s="113">
        <v>1.2E-2</v>
      </c>
      <c r="K20" s="114">
        <v>3</v>
      </c>
    </row>
    <row r="21" spans="1:16" x14ac:dyDescent="0.2">
      <c r="A21" s="22" t="s">
        <v>19</v>
      </c>
      <c r="B21" s="105">
        <v>200</v>
      </c>
      <c r="C21" s="31" t="s">
        <v>108</v>
      </c>
      <c r="D21" s="105">
        <v>4.3999999999999997E-2</v>
      </c>
      <c r="E21" s="107" t="s">
        <v>2</v>
      </c>
      <c r="F21" s="2"/>
      <c r="G21" s="9"/>
      <c r="H21" s="18"/>
      <c r="I21" s="112" t="s">
        <v>93</v>
      </c>
      <c r="J21" s="113">
        <v>4.8000000000000001E-2</v>
      </c>
      <c r="K21" s="114">
        <v>3</v>
      </c>
    </row>
    <row r="22" spans="1:16" x14ac:dyDescent="0.2">
      <c r="A22" s="22" t="s">
        <v>17</v>
      </c>
      <c r="B22" s="105">
        <v>1</v>
      </c>
      <c r="C22" s="31" t="s">
        <v>108</v>
      </c>
      <c r="D22" s="105">
        <v>3.0000000000000001E-3</v>
      </c>
      <c r="E22" s="107" t="s">
        <v>2</v>
      </c>
      <c r="F22" s="2"/>
      <c r="G22" s="9"/>
      <c r="H22" s="2"/>
      <c r="I22" s="112" t="s">
        <v>94</v>
      </c>
      <c r="J22" s="113">
        <v>3.3000000000000002E-2</v>
      </c>
      <c r="K22" s="114">
        <v>3</v>
      </c>
    </row>
    <row r="23" spans="1:16" x14ac:dyDescent="0.2">
      <c r="A23" s="22" t="s">
        <v>18</v>
      </c>
      <c r="B23" s="105">
        <v>25</v>
      </c>
      <c r="C23" s="15" t="s">
        <v>108</v>
      </c>
      <c r="D23" s="105">
        <v>7.0000000000000001E-3</v>
      </c>
      <c r="E23" s="107" t="s">
        <v>2</v>
      </c>
      <c r="F23" s="2"/>
      <c r="G23" s="9"/>
      <c r="H23" s="2"/>
      <c r="I23" s="112" t="s">
        <v>95</v>
      </c>
      <c r="J23" s="113">
        <v>2.5000000000000001E-2</v>
      </c>
      <c r="K23" s="114">
        <v>3</v>
      </c>
    </row>
    <row r="24" spans="1:16" x14ac:dyDescent="0.2">
      <c r="H24" s="9"/>
    </row>
    <row r="25" spans="1:16" x14ac:dyDescent="0.2">
      <c r="A25" s="5" t="s">
        <v>4</v>
      </c>
      <c r="N25" s="25" t="s">
        <v>23</v>
      </c>
      <c r="O25" s="24">
        <f>P28/O28</f>
        <v>0.28427317826285281</v>
      </c>
    </row>
    <row r="27" spans="1:16" ht="39.75" customHeight="1" x14ac:dyDescent="0.2">
      <c r="A27" s="14" t="s">
        <v>96</v>
      </c>
      <c r="B27" s="14" t="s">
        <v>7</v>
      </c>
      <c r="C27" s="14" t="s">
        <v>8</v>
      </c>
      <c r="D27" s="14" t="s">
        <v>132</v>
      </c>
      <c r="E27" s="14" t="s">
        <v>133</v>
      </c>
      <c r="F27" s="14" t="s">
        <v>123</v>
      </c>
      <c r="G27" s="6" t="s">
        <v>134</v>
      </c>
      <c r="H27" s="14" t="s">
        <v>135</v>
      </c>
      <c r="I27" s="14" t="s">
        <v>136</v>
      </c>
      <c r="J27" s="6" t="s">
        <v>137</v>
      </c>
      <c r="K27" s="14" t="s">
        <v>122</v>
      </c>
      <c r="L27" s="14" t="s">
        <v>118</v>
      </c>
      <c r="M27" s="14" t="s">
        <v>130</v>
      </c>
      <c r="N27" s="14" t="s">
        <v>76</v>
      </c>
      <c r="O27" s="14" t="s">
        <v>22</v>
      </c>
      <c r="P27" s="7" t="s">
        <v>5</v>
      </c>
    </row>
    <row r="28" spans="1:16" ht="18.75" customHeight="1" x14ac:dyDescent="0.2">
      <c r="A28" s="108">
        <v>1</v>
      </c>
      <c r="B28" s="109">
        <v>0.25</v>
      </c>
      <c r="C28" s="60">
        <v>5.0000000000000001E-4</v>
      </c>
      <c r="D28" s="110">
        <v>25</v>
      </c>
      <c r="E28" s="60">
        <v>7.0000000000000001E-3</v>
      </c>
      <c r="F28" s="58" t="s">
        <v>6</v>
      </c>
      <c r="G28" s="59">
        <v>10</v>
      </c>
      <c r="H28" s="59">
        <v>3.0000000000000001E-3</v>
      </c>
      <c r="I28" s="59">
        <v>101.08</v>
      </c>
      <c r="J28" s="59">
        <v>2.1999999999999999E-2</v>
      </c>
      <c r="K28" s="60">
        <v>7.7899999999999997E-2</v>
      </c>
      <c r="L28" s="66">
        <v>0.13700000000000001</v>
      </c>
      <c r="M28" s="104">
        <f>INDEX(I16:K23,A28,3)</f>
        <v>3</v>
      </c>
      <c r="N28" s="103">
        <f>INDEX(I16:J23,A28,2)</f>
        <v>0.11799999999999999</v>
      </c>
      <c r="O28" s="115">
        <f>IF(F28="N",K28*D28/B28,K28*I28/G28*D28/B28)</f>
        <v>78.741319999999988</v>
      </c>
      <c r="P28" s="61">
        <f>IF(F28="S",GeralComDiluicao!M33,GeralSemDiluicao!M30)</f>
        <v>22.384045297012332</v>
      </c>
    </row>
    <row r="29" spans="1:16" x14ac:dyDescent="0.2">
      <c r="A29" s="10"/>
      <c r="B29" s="8"/>
      <c r="C29" s="8"/>
      <c r="F29" s="8"/>
      <c r="G29" s="8"/>
      <c r="H29" s="8"/>
      <c r="I29" s="11"/>
      <c r="J29" s="12"/>
      <c r="N29" s="10"/>
    </row>
    <row r="30" spans="1:16" x14ac:dyDescent="0.2">
      <c r="A30" s="139" t="s">
        <v>126</v>
      </c>
      <c r="B30" s="140"/>
      <c r="C30" s="140"/>
      <c r="D30" s="141"/>
      <c r="E30" s="142" t="s">
        <v>139</v>
      </c>
      <c r="F30" s="143"/>
      <c r="G30" s="144"/>
      <c r="H30" s="145" t="s">
        <v>140</v>
      </c>
      <c r="I30" s="146"/>
      <c r="J30" s="146"/>
      <c r="K30" s="146"/>
      <c r="L30" s="146"/>
      <c r="M30" s="146"/>
      <c r="N30" s="146"/>
      <c r="O30" s="146"/>
      <c r="P30" s="147"/>
    </row>
    <row r="31" spans="1:16" x14ac:dyDescent="0.2">
      <c r="F31" s="10"/>
      <c r="G31" s="10"/>
      <c r="H31" s="10"/>
      <c r="I31" s="10"/>
    </row>
    <row r="32" spans="1:16" x14ac:dyDescent="0.2">
      <c r="F32" s="10"/>
      <c r="G32" s="10"/>
      <c r="H32" s="10"/>
      <c r="I32" s="10"/>
      <c r="N32" s="10"/>
    </row>
    <row r="33" spans="1:14" x14ac:dyDescent="0.2"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"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"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"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1:14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</row>
    <row r="90" spans="1:14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14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</row>
    <row r="94" spans="1:14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6" spans="1:14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14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</row>
    <row r="108" spans="1:14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</row>
    <row r="109" spans="1:14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14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19" spans="1:14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</row>
    <row r="120" spans="1:14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</row>
    <row r="121" spans="1:14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1:14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  <row r="125" spans="1:14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</row>
    <row r="126" spans="1:14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</row>
    <row r="127" spans="1:14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</row>
    <row r="128" spans="1:14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</row>
    <row r="129" spans="1:14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</row>
    <row r="130" spans="1:14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4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</row>
    <row r="134" spans="1:14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</row>
    <row r="135" spans="1:14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</row>
    <row r="137" spans="1:14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</row>
    <row r="139" spans="1:14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</row>
    <row r="140" spans="1:14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</row>
    <row r="141" spans="1:14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</row>
    <row r="142" spans="1:14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</row>
    <row r="143" spans="1:14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</row>
    <row r="146" spans="1:14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</row>
    <row r="147" spans="1:14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</row>
    <row r="148" spans="1:14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</row>
    <row r="149" spans="1:14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</row>
    <row r="150" spans="1:14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</row>
    <row r="153" spans="1:14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</row>
    <row r="154" spans="1:14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</row>
    <row r="155" spans="1:14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</row>
    <row r="156" spans="1:14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</row>
    <row r="159" spans="1:14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</row>
    <row r="160" spans="1:14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</row>
    <row r="161" spans="1:14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</row>
    <row r="162" spans="1:14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</row>
    <row r="163" spans="1:14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</row>
    <row r="164" spans="1:14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</row>
    <row r="165" spans="1:14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</row>
    <row r="166" spans="1:14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</row>
    <row r="167" spans="1:14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</row>
    <row r="168" spans="1:14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</row>
    <row r="169" spans="1:14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</row>
    <row r="170" spans="1:14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</row>
    <row r="171" spans="1:14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</row>
    <row r="172" spans="1:14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</row>
    <row r="173" spans="1:14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</row>
    <row r="174" spans="1:14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</row>
    <row r="175" spans="1:14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</row>
    <row r="178" spans="1:14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</row>
    <row r="179" spans="1:14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</row>
    <row r="180" spans="1:14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</row>
    <row r="181" spans="1:14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</row>
    <row r="182" spans="1:14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</row>
    <row r="183" spans="1:14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</row>
    <row r="184" spans="1:14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</row>
    <row r="185" spans="1:14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</row>
    <row r="186" spans="1:14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</row>
    <row r="187" spans="1:14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</row>
    <row r="188" spans="1:14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</row>
    <row r="189" spans="1:14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</row>
    <row r="190" spans="1:14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</row>
    <row r="191" spans="1:14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</row>
    <row r="192" spans="1:14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</row>
    <row r="193" spans="1:14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1:14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14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14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1:14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1:14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1:14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1:14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1:14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1:14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1:14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1:14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1:14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1:14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1:14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  <row r="327" spans="1:14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</row>
    <row r="329" spans="1:14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</row>
    <row r="330" spans="1:14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</row>
    <row r="331" spans="1:14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</row>
    <row r="332" spans="1:14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</row>
    <row r="334" spans="1:14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</row>
    <row r="335" spans="1:14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</row>
    <row r="337" spans="1:14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</row>
    <row r="338" spans="1:14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</row>
    <row r="340" spans="1:14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</row>
    <row r="341" spans="1:14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</row>
    <row r="343" spans="1:14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</row>
    <row r="344" spans="1:14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</row>
    <row r="346" spans="1:14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1:14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1:14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 spans="1:14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 spans="1:14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 spans="1:14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 spans="1:14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 spans="1:14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 spans="1:14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1:14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 spans="1:14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 spans="1:14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 spans="1:14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 spans="1:14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 spans="1:14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1:14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1:14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1:14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1:14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4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1:14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1:14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1:14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 spans="1:14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 spans="1:14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1:14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1:14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1:14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1:14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1:14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1:14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1:14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1:14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1:14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1:14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1:14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 spans="1:14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 spans="1:14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 spans="1:14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 spans="1:14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 spans="1:14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1:14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 spans="1:14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 spans="1:14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 spans="1:14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 spans="1:14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4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 spans="1:14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 spans="1:14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 spans="1:14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 spans="1:14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 spans="1:14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 spans="1:14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 spans="1:14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 spans="1:14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 spans="1:14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 spans="1:14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1:14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 spans="1:14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 spans="1:14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 spans="1:14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 spans="1:14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 spans="1:14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 spans="1:14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 spans="1:14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 spans="1:14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 spans="1:14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 spans="1:14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 spans="1:14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 spans="1:14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 spans="1:14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 spans="1:14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 spans="1:14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 spans="1:14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 spans="1:14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 spans="1:14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 spans="1:14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 spans="1:14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 spans="1:14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 spans="1:14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4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 spans="1:14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 spans="1:14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 spans="1:14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 spans="1:14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 spans="1:14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 spans="1:14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 spans="1:14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 spans="1:14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 spans="1:14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 spans="1:14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 spans="1:14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 spans="1:14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 spans="1:14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 spans="1:14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 spans="1:14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 spans="1:14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 spans="1:14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 spans="1:14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 spans="1:14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 spans="1:14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 spans="1:14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 spans="1:14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4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 spans="1:14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 spans="1:14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 spans="1:14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 spans="1:14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 spans="1:14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 spans="1:14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 spans="1:14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 spans="1:14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 spans="1:14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 spans="1:14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 spans="1:14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 spans="1:14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 spans="1:14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 spans="1:14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 spans="1:14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 spans="1:14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 spans="1:14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 spans="1:14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 spans="1:14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 spans="1:14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 spans="1:14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 spans="1:14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 spans="1:14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 spans="1:14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 spans="1:14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 spans="1:14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</sheetData>
  <sheetProtection sheet="1" objects="1" scenarios="1" selectLockedCells="1"/>
  <mergeCells count="10">
    <mergeCell ref="A15:E15"/>
    <mergeCell ref="G17:H17"/>
    <mergeCell ref="A30:D30"/>
    <mergeCell ref="E30:G30"/>
    <mergeCell ref="H30:P30"/>
    <mergeCell ref="A3:E3"/>
    <mergeCell ref="A9:L9"/>
    <mergeCell ref="A4:E7"/>
    <mergeCell ref="F4:H7"/>
    <mergeCell ref="I4:L7"/>
  </mergeCells>
  <phoneticPr fontId="3" type="noConversion"/>
  <conditionalFormatting sqref="G28:J28">
    <cfRule type="expression" dxfId="1" priority="5">
      <formula>$F$28="S"</formula>
    </cfRule>
    <cfRule type="expression" dxfId="0" priority="6">
      <formula>$F$28="N"</formula>
    </cfRule>
  </conditionalFormatting>
  <dataValidations count="2">
    <dataValidation type="list" allowBlank="1" showInputMessage="1" showErrorMessage="1" sqref="F28">
      <formula1>$Z$5:$Z$6</formula1>
    </dataValidation>
    <dataValidation type="list" allowBlank="1" showInputMessage="1" showErrorMessage="1" sqref="C29">
      <formula1>$Z$6:$Z$6</formula1>
    </dataValidation>
  </dataValidations>
  <pageMargins left="0.78740157499999996" right="0.78740157499999996" top="0.984251969" bottom="0.984251969" header="0.49212598499999999" footer="0.49212598499999999"/>
  <pageSetup paperSize="9" scale="61" orientation="landscape" r:id="rId1"/>
  <headerFooter alignWithMargins="0"/>
  <cellWatches>
    <cellWatch r="F28"/>
  </cellWatches>
  <drawing r:id="rId2"/>
  <legacyDrawing r:id="rId3"/>
  <oleObjects>
    <mc:AlternateContent xmlns:mc="http://schemas.openxmlformats.org/markup-compatibility/2006">
      <mc:Choice Requires="x14">
        <oleObject progId="Equation.3" shapeId="1033" r:id="rId4">
          <objectPr defaultSize="0" r:id="rId5">
            <anchor moveWithCells="1">
              <from>
                <xdr:col>2</xdr:col>
                <xdr:colOff>342900</xdr:colOff>
                <xdr:row>9</xdr:row>
                <xdr:rowOff>95250</xdr:rowOff>
              </from>
              <to>
                <xdr:col>5</xdr:col>
                <xdr:colOff>428625</xdr:colOff>
                <xdr:row>13</xdr:row>
                <xdr:rowOff>19050</xdr:rowOff>
              </to>
            </anchor>
          </objectPr>
        </oleObject>
      </mc:Choice>
      <mc:Fallback>
        <oleObject progId="Equation.3" shapeId="1033" r:id="rId4"/>
      </mc:Fallback>
    </mc:AlternateContent>
    <mc:AlternateContent xmlns:mc="http://schemas.openxmlformats.org/markup-compatibility/2006">
      <mc:Choice Requires="x14">
        <oleObject progId="Equation.3" shapeId="1043" r:id="rId6">
          <objectPr defaultSize="0" r:id="rId7">
            <anchor moveWithCells="1">
              <from>
                <xdr:col>7</xdr:col>
                <xdr:colOff>628650</xdr:colOff>
                <xdr:row>9</xdr:row>
                <xdr:rowOff>76200</xdr:rowOff>
              </from>
              <to>
                <xdr:col>10</xdr:col>
                <xdr:colOff>466725</xdr:colOff>
                <xdr:row>12</xdr:row>
                <xdr:rowOff>133350</xdr:rowOff>
              </to>
            </anchor>
          </objectPr>
        </oleObject>
      </mc:Choice>
      <mc:Fallback>
        <oleObject progId="Equation.3" shapeId="1043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8" name="Drop Down 11">
              <controlPr defaultSize="0" print="0" autoFill="0" autoLine="0" autoPict="0">
                <anchor moveWithCells="1">
                  <from>
                    <xdr:col>0</xdr:col>
                    <xdr:colOff>19050</xdr:colOff>
                    <xdr:row>27</xdr:row>
                    <xdr:rowOff>19050</xdr:rowOff>
                  </from>
                  <to>
                    <xdr:col>0</xdr:col>
                    <xdr:colOff>1000125</xdr:colOff>
                    <xdr:row>27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showGridLines="0" workbookViewId="0">
      <selection activeCell="J16" sqref="J16"/>
    </sheetView>
  </sheetViews>
  <sheetFormatPr defaultRowHeight="12.75" x14ac:dyDescent="0.2"/>
  <cols>
    <col min="2" max="2" width="12.5703125" bestFit="1" customWidth="1"/>
    <col min="3" max="3" width="30.5703125" bestFit="1" customWidth="1"/>
    <col min="5" max="5" width="9.42578125" bestFit="1" customWidth="1"/>
    <col min="7" max="7" width="15.28515625" customWidth="1"/>
  </cols>
  <sheetData>
    <row r="1" spans="1:12" x14ac:dyDescent="0.2">
      <c r="A1" s="70" t="s">
        <v>129</v>
      </c>
      <c r="B1" s="71"/>
      <c r="C1" s="71"/>
      <c r="D1" s="71"/>
      <c r="E1" s="71"/>
      <c r="F1" s="71"/>
      <c r="G1" s="71"/>
      <c r="H1" s="76" t="s">
        <v>141</v>
      </c>
      <c r="I1" s="71"/>
      <c r="J1" s="71"/>
      <c r="K1" s="71"/>
      <c r="L1" s="72"/>
    </row>
    <row r="2" spans="1:12" x14ac:dyDescent="0.2">
      <c r="A2" s="75" t="s">
        <v>124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x14ac:dyDescent="0.25">
      <c r="A3" s="151"/>
      <c r="B3" s="151"/>
      <c r="C3" s="151"/>
      <c r="D3" s="151"/>
      <c r="E3" s="151"/>
      <c r="F3" s="67"/>
      <c r="G3" s="67"/>
      <c r="H3" s="67"/>
    </row>
    <row r="4" spans="1:12" x14ac:dyDescent="0.2">
      <c r="A4" s="152" t="s">
        <v>125</v>
      </c>
      <c r="B4" s="152"/>
      <c r="C4" s="152"/>
      <c r="D4" s="152"/>
      <c r="E4" s="152"/>
      <c r="F4" s="152" t="s">
        <v>119</v>
      </c>
      <c r="G4" s="152"/>
      <c r="H4" s="152"/>
      <c r="I4" s="153"/>
      <c r="J4" s="153"/>
      <c r="K4" s="153"/>
      <c r="L4" s="153"/>
    </row>
    <row r="5" spans="1:12" x14ac:dyDescent="0.2">
      <c r="A5" s="152"/>
      <c r="B5" s="152"/>
      <c r="C5" s="152"/>
      <c r="D5" s="152"/>
      <c r="E5" s="152"/>
      <c r="F5" s="152"/>
      <c r="G5" s="152"/>
      <c r="H5" s="152"/>
      <c r="I5" s="153"/>
      <c r="J5" s="153"/>
      <c r="K5" s="153"/>
      <c r="L5" s="153"/>
    </row>
    <row r="6" spans="1:12" x14ac:dyDescent="0.2">
      <c r="A6" s="152"/>
      <c r="B6" s="152"/>
      <c r="C6" s="152"/>
      <c r="D6" s="152"/>
      <c r="E6" s="152"/>
      <c r="F6" s="152"/>
      <c r="G6" s="152"/>
      <c r="H6" s="152"/>
      <c r="I6" s="153"/>
      <c r="J6" s="153"/>
      <c r="K6" s="153"/>
      <c r="L6" s="153"/>
    </row>
    <row r="7" spans="1:12" x14ac:dyDescent="0.2">
      <c r="A7" s="152"/>
      <c r="B7" s="152"/>
      <c r="C7" s="152"/>
      <c r="D7" s="152"/>
      <c r="E7" s="152"/>
      <c r="F7" s="152"/>
      <c r="G7" s="152"/>
      <c r="H7" s="152"/>
      <c r="I7" s="153"/>
      <c r="J7" s="153"/>
      <c r="K7" s="153"/>
      <c r="L7" s="153"/>
    </row>
    <row r="9" spans="1:12" ht="15.75" x14ac:dyDescent="0.2">
      <c r="A9" s="118" t="s">
        <v>138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0" spans="1:12" x14ac:dyDescent="0.2">
      <c r="A10" s="54"/>
      <c r="B10" s="54"/>
      <c r="C10" s="54"/>
      <c r="D10" s="54"/>
      <c r="E10" s="54"/>
      <c r="F10" s="54"/>
      <c r="G10" s="54"/>
      <c r="H10" s="54"/>
    </row>
    <row r="11" spans="1:12" x14ac:dyDescent="0.2">
      <c r="A11" s="54"/>
      <c r="B11" s="54"/>
      <c r="C11" s="54"/>
      <c r="D11" s="54"/>
      <c r="E11" s="54"/>
      <c r="F11" s="54"/>
      <c r="G11" s="54"/>
      <c r="H11" s="54"/>
    </row>
    <row r="12" spans="1:12" ht="15.75" x14ac:dyDescent="0.2">
      <c r="A12" s="54"/>
      <c r="B12" s="54"/>
      <c r="C12" s="77" t="s">
        <v>120</v>
      </c>
      <c r="D12" s="54"/>
      <c r="E12" s="54"/>
      <c r="F12" s="54"/>
      <c r="G12" s="54"/>
      <c r="H12" s="54"/>
    </row>
    <row r="15" spans="1:12" ht="15.95" customHeight="1" x14ac:dyDescent="0.2">
      <c r="B15" s="26" t="s">
        <v>24</v>
      </c>
      <c r="C15" s="26" t="s">
        <v>25</v>
      </c>
      <c r="D15" s="26" t="s">
        <v>21</v>
      </c>
      <c r="E15" s="26" t="s">
        <v>26</v>
      </c>
      <c r="F15" s="26" t="s">
        <v>27</v>
      </c>
      <c r="G15" s="26" t="s">
        <v>28</v>
      </c>
      <c r="H15" s="26" t="s">
        <v>29</v>
      </c>
    </row>
    <row r="16" spans="1:12" ht="15.95" customHeight="1" x14ac:dyDescent="0.3">
      <c r="B16" s="21" t="s">
        <v>53</v>
      </c>
      <c r="C16" s="21" t="s">
        <v>59</v>
      </c>
      <c r="D16" s="1">
        <f>Modelo!B21</f>
        <v>200</v>
      </c>
      <c r="E16" s="27">
        <f>Modelo!D21</f>
        <v>4.3999999999999997E-2</v>
      </c>
      <c r="F16" s="28">
        <v>2</v>
      </c>
      <c r="G16" s="27">
        <f>E16/F16</f>
        <v>2.1999999999999999E-2</v>
      </c>
      <c r="H16" s="17" t="s">
        <v>1</v>
      </c>
    </row>
    <row r="17" spans="2:8" ht="15.95" customHeight="1" x14ac:dyDescent="0.3">
      <c r="B17" s="21" t="s">
        <v>55</v>
      </c>
      <c r="C17" s="21" t="s">
        <v>60</v>
      </c>
      <c r="D17" s="1">
        <f>D16</f>
        <v>200</v>
      </c>
      <c r="E17" s="27">
        <f>Modelo!B21*0.00021*5</f>
        <v>0.21000000000000002</v>
      </c>
      <c r="F17" s="27">
        <f>SQRT(3)</f>
        <v>1.7320508075688772</v>
      </c>
      <c r="G17" s="27">
        <f>E17/F17</f>
        <v>0.12124355652982143</v>
      </c>
      <c r="H17" s="17" t="s">
        <v>1</v>
      </c>
    </row>
    <row r="18" spans="2:8" ht="15.95" customHeight="1" x14ac:dyDescent="0.3">
      <c r="B18" s="81" t="s">
        <v>56</v>
      </c>
      <c r="C18" s="81" t="s">
        <v>61</v>
      </c>
      <c r="D18" s="82">
        <f>D16</f>
        <v>200</v>
      </c>
      <c r="E18" s="83">
        <f>SQRT(SUMSQ(G16,G17))</f>
        <v>0.12322337440599491</v>
      </c>
      <c r="F18" s="84">
        <v>1</v>
      </c>
      <c r="G18" s="83">
        <f>E18/F18</f>
        <v>0.12322337440599491</v>
      </c>
      <c r="H18" s="85" t="s">
        <v>1</v>
      </c>
    </row>
    <row r="19" spans="2:8" ht="15.95" customHeight="1" x14ac:dyDescent="0.3">
      <c r="B19" s="21" t="s">
        <v>57</v>
      </c>
      <c r="C19" s="21" t="s">
        <v>62</v>
      </c>
      <c r="D19" s="1">
        <f>Modelo!B20</f>
        <v>25</v>
      </c>
      <c r="E19" s="27">
        <f>Modelo!D20</f>
        <v>7.0000000000000001E-3</v>
      </c>
      <c r="F19" s="28">
        <v>2</v>
      </c>
      <c r="G19" s="27">
        <f>E20/F19</f>
        <v>1.3125000000000001E-2</v>
      </c>
      <c r="H19" s="17" t="s">
        <v>1</v>
      </c>
    </row>
    <row r="20" spans="2:8" ht="15.95" customHeight="1" x14ac:dyDescent="0.3">
      <c r="B20" s="21" t="s">
        <v>54</v>
      </c>
      <c r="C20" s="21" t="s">
        <v>63</v>
      </c>
      <c r="D20" s="1">
        <f>D19</f>
        <v>25</v>
      </c>
      <c r="E20" s="27">
        <f>D19*0.00021*5</f>
        <v>2.6250000000000002E-2</v>
      </c>
      <c r="F20" s="27">
        <f>SQRT(3)</f>
        <v>1.7320508075688772</v>
      </c>
      <c r="G20" s="27">
        <f>E19/F20</f>
        <v>4.041451884327381E-3</v>
      </c>
      <c r="H20" s="17" t="s">
        <v>1</v>
      </c>
    </row>
    <row r="21" spans="2:8" ht="15.95" customHeight="1" x14ac:dyDescent="0.3">
      <c r="B21" s="81" t="s">
        <v>58</v>
      </c>
      <c r="C21" s="81" t="s">
        <v>64</v>
      </c>
      <c r="D21" s="82">
        <f>D19</f>
        <v>25</v>
      </c>
      <c r="E21" s="83">
        <f>SQRT(SUMSQ(G20,G19))</f>
        <v>1.3733133594825813E-2</v>
      </c>
      <c r="F21" s="84">
        <v>1</v>
      </c>
      <c r="G21" s="83">
        <f t="shared" ref="G21" si="0">E21/F21</f>
        <v>1.3733133594825813E-2</v>
      </c>
      <c r="H21" s="85" t="s">
        <v>1</v>
      </c>
    </row>
    <row r="22" spans="2:8" ht="15.95" customHeight="1" x14ac:dyDescent="0.3">
      <c r="B22" s="21" t="s">
        <v>47</v>
      </c>
      <c r="C22" s="21" t="s">
        <v>65</v>
      </c>
      <c r="D22" s="1">
        <f>Modelo!B23</f>
        <v>25</v>
      </c>
      <c r="E22" s="27">
        <f>Modelo!D23</f>
        <v>7.0000000000000001E-3</v>
      </c>
      <c r="F22" s="28">
        <v>2</v>
      </c>
      <c r="G22" s="27">
        <f>E22/F22</f>
        <v>3.5000000000000001E-3</v>
      </c>
      <c r="H22" s="17" t="s">
        <v>1</v>
      </c>
    </row>
    <row r="23" spans="2:8" ht="15.95" customHeight="1" x14ac:dyDescent="0.3">
      <c r="B23" s="21" t="s">
        <v>48</v>
      </c>
      <c r="C23" s="21" t="s">
        <v>66</v>
      </c>
      <c r="D23" s="1">
        <f>D22</f>
        <v>25</v>
      </c>
      <c r="E23" s="27">
        <f>D23*0.00021*5</f>
        <v>2.6250000000000002E-2</v>
      </c>
      <c r="F23" s="27">
        <f>SQRT(3)</f>
        <v>1.7320508075688772</v>
      </c>
      <c r="G23" s="27">
        <f>E23/F23</f>
        <v>1.5155444566227678E-2</v>
      </c>
      <c r="H23" s="17" t="s">
        <v>1</v>
      </c>
    </row>
    <row r="24" spans="2:8" ht="15.95" customHeight="1" x14ac:dyDescent="0.3">
      <c r="B24" s="81" t="s">
        <v>51</v>
      </c>
      <c r="C24" s="81" t="s">
        <v>67</v>
      </c>
      <c r="D24" s="82">
        <f>D22</f>
        <v>25</v>
      </c>
      <c r="E24" s="83">
        <f>SQRT(SUMSQ(G22,G23))</f>
        <v>1.5554340230302282E-2</v>
      </c>
      <c r="F24" s="84">
        <v>1</v>
      </c>
      <c r="G24" s="83">
        <f>E24/F24</f>
        <v>1.5554340230302282E-2</v>
      </c>
      <c r="H24" s="85" t="s">
        <v>1</v>
      </c>
    </row>
    <row r="25" spans="2:8" ht="15.95" customHeight="1" x14ac:dyDescent="0.3">
      <c r="B25" s="21" t="s">
        <v>71</v>
      </c>
      <c r="C25" s="21" t="s">
        <v>68</v>
      </c>
      <c r="D25" s="1">
        <f>Modelo!B22</f>
        <v>1</v>
      </c>
      <c r="E25" s="27">
        <f>Modelo!D22</f>
        <v>3.0000000000000001E-3</v>
      </c>
      <c r="F25" s="28">
        <v>2</v>
      </c>
      <c r="G25" s="27">
        <f>E26/F25</f>
        <v>5.2500000000000008E-4</v>
      </c>
      <c r="H25" s="17" t="s">
        <v>1</v>
      </c>
    </row>
    <row r="26" spans="2:8" ht="15.95" customHeight="1" x14ac:dyDescent="0.3">
      <c r="B26" s="21" t="s">
        <v>72</v>
      </c>
      <c r="C26" s="21" t="s">
        <v>69</v>
      </c>
      <c r="D26" s="1">
        <f>D25</f>
        <v>1</v>
      </c>
      <c r="E26" s="27">
        <f>D26*0.00021*5</f>
        <v>1.0500000000000002E-3</v>
      </c>
      <c r="F26" s="27">
        <f>SQRT(3)</f>
        <v>1.7320508075688772</v>
      </c>
      <c r="G26" s="27">
        <f>E25/F26</f>
        <v>1.7320508075688774E-3</v>
      </c>
      <c r="H26" s="17" t="s">
        <v>1</v>
      </c>
    </row>
    <row r="27" spans="2:8" ht="15.95" customHeight="1" x14ac:dyDescent="0.3">
      <c r="B27" s="81" t="s">
        <v>73</v>
      </c>
      <c r="C27" s="81" t="s">
        <v>70</v>
      </c>
      <c r="D27" s="82">
        <f>D25</f>
        <v>1</v>
      </c>
      <c r="E27" s="83">
        <f>SQRT(SUMSQ(G26,G25))</f>
        <v>1.8098687797738267E-3</v>
      </c>
      <c r="F27" s="84">
        <v>1</v>
      </c>
      <c r="G27" s="83">
        <f t="shared" ref="G27:G30" si="1">E27/F27</f>
        <v>1.8098687797738267E-3</v>
      </c>
      <c r="H27" s="85" t="s">
        <v>1</v>
      </c>
    </row>
    <row r="28" spans="2:8" ht="15.95" customHeight="1" x14ac:dyDescent="0.2">
      <c r="B28" s="86" t="s">
        <v>9</v>
      </c>
      <c r="C28" s="87" t="s">
        <v>0</v>
      </c>
      <c r="D28" s="82">
        <f>Modelo!B18</f>
        <v>1000</v>
      </c>
      <c r="E28" s="82">
        <f>Modelo!D18</f>
        <v>6</v>
      </c>
      <c r="F28" s="84">
        <v>2</v>
      </c>
      <c r="G28" s="83">
        <f>E28/F28</f>
        <v>3</v>
      </c>
      <c r="H28" s="85" t="s">
        <v>1</v>
      </c>
    </row>
    <row r="29" spans="2:8" ht="15.95" customHeight="1" x14ac:dyDescent="0.2">
      <c r="B29" s="86" t="s">
        <v>10</v>
      </c>
      <c r="C29" s="87" t="s">
        <v>11</v>
      </c>
      <c r="D29" s="82">
        <f>Modelo!B19</f>
        <v>5</v>
      </c>
      <c r="E29" s="82">
        <f>Modelo!D19/SQRT(3)</f>
        <v>1.7320508075688773E-2</v>
      </c>
      <c r="F29" s="83">
        <f>SQRT(3)</f>
        <v>1.7320508075688772</v>
      </c>
      <c r="G29" s="83">
        <f t="shared" si="1"/>
        <v>0.01</v>
      </c>
      <c r="H29" s="85" t="s">
        <v>1</v>
      </c>
    </row>
    <row r="30" spans="2:8" ht="15.95" customHeight="1" x14ac:dyDescent="0.2">
      <c r="B30" s="88" t="s">
        <v>74</v>
      </c>
      <c r="C30" s="88" t="s">
        <v>75</v>
      </c>
      <c r="D30" s="89">
        <f>D28*D21/D18*D27/D24/D29</f>
        <v>1</v>
      </c>
      <c r="E30" s="89">
        <f>D30*SQRT(SUMSQ(G18/D18,G21/D21,G24/D24,G27/D27,G28/D28,G29/D29))</f>
        <v>4.1646228320621464E-3</v>
      </c>
      <c r="F30" s="89">
        <v>1</v>
      </c>
      <c r="G30" s="90">
        <f t="shared" si="1"/>
        <v>4.1646228320621464E-3</v>
      </c>
      <c r="H30" s="91" t="s">
        <v>1</v>
      </c>
    </row>
    <row r="33" spans="1:15" x14ac:dyDescent="0.2">
      <c r="A33" s="139" t="s">
        <v>126</v>
      </c>
      <c r="B33" s="140"/>
      <c r="C33" s="140"/>
      <c r="D33" s="141"/>
      <c r="E33" s="142" t="s">
        <v>139</v>
      </c>
      <c r="F33" s="143"/>
      <c r="G33" s="143"/>
      <c r="H33" s="148" t="s">
        <v>140</v>
      </c>
      <c r="I33" s="149"/>
      <c r="J33" s="149"/>
      <c r="K33" s="149"/>
      <c r="L33" s="150"/>
      <c r="M33" s="78"/>
      <c r="N33" s="78"/>
      <c r="O33" s="78"/>
    </row>
  </sheetData>
  <sheetProtection sheet="1" objects="1" scenarios="1"/>
  <mergeCells count="8">
    <mergeCell ref="A9:L9"/>
    <mergeCell ref="A33:D33"/>
    <mergeCell ref="E33:G33"/>
    <mergeCell ref="H33:L33"/>
    <mergeCell ref="A3:E3"/>
    <mergeCell ref="A4:E7"/>
    <mergeCell ref="F4:H7"/>
    <mergeCell ref="I4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6388" r:id="rId4">
          <objectPr defaultSize="0" autoPict="0" r:id="rId5">
            <anchor moveWithCells="1">
              <from>
                <xdr:col>3</xdr:col>
                <xdr:colOff>114300</xdr:colOff>
                <xdr:row>9</xdr:row>
                <xdr:rowOff>38100</xdr:rowOff>
              </from>
              <to>
                <xdr:col>6</xdr:col>
                <xdr:colOff>447675</xdr:colOff>
                <xdr:row>12</xdr:row>
                <xdr:rowOff>76200</xdr:rowOff>
              </to>
            </anchor>
          </objectPr>
        </oleObject>
      </mc:Choice>
      <mc:Fallback>
        <oleObject progId="Equation.3" shapeId="1638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1"/>
  <sheetViews>
    <sheetView showGridLines="0" workbookViewId="0">
      <selection activeCell="G31" sqref="G31"/>
    </sheetView>
  </sheetViews>
  <sheetFormatPr defaultRowHeight="12.75" x14ac:dyDescent="0.2"/>
  <cols>
    <col min="1" max="1" width="20.85546875" bestFit="1" customWidth="1"/>
    <col min="2" max="2" width="35.5703125" customWidth="1"/>
    <col min="3" max="3" width="7.7109375" bestFit="1" customWidth="1"/>
    <col min="4" max="4" width="11" bestFit="1" customWidth="1"/>
    <col min="5" max="5" width="7" bestFit="1" customWidth="1"/>
    <col min="6" max="6" width="16.5703125" bestFit="1" customWidth="1"/>
    <col min="10" max="10" width="21.140625" bestFit="1" customWidth="1"/>
    <col min="11" max="11" width="16.85546875" bestFit="1" customWidth="1"/>
    <col min="12" max="15" width="9.28515625" bestFit="1" customWidth="1"/>
    <col min="16" max="16" width="8.5703125" bestFit="1" customWidth="1"/>
  </cols>
  <sheetData>
    <row r="1" spans="1:12" x14ac:dyDescent="0.2">
      <c r="A1" s="70" t="s">
        <v>129</v>
      </c>
      <c r="B1" s="71"/>
      <c r="C1" s="71"/>
      <c r="D1" s="71"/>
      <c r="E1" s="71"/>
      <c r="F1" s="71"/>
      <c r="G1" s="71"/>
      <c r="H1" s="76" t="s">
        <v>141</v>
      </c>
      <c r="I1" s="71"/>
      <c r="J1" s="71"/>
      <c r="K1" s="71"/>
      <c r="L1" s="72"/>
    </row>
    <row r="2" spans="1:12" x14ac:dyDescent="0.2">
      <c r="A2" s="75" t="s">
        <v>124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2" ht="15" x14ac:dyDescent="0.25">
      <c r="A3" s="117"/>
      <c r="B3" s="117"/>
      <c r="C3" s="117"/>
      <c r="D3" s="117"/>
      <c r="E3" s="117"/>
      <c r="F3" s="67"/>
      <c r="G3" s="67"/>
      <c r="H3" s="67"/>
    </row>
    <row r="4" spans="1:12" x14ac:dyDescent="0.2">
      <c r="A4" s="119" t="s">
        <v>125</v>
      </c>
      <c r="B4" s="120"/>
      <c r="C4" s="120"/>
      <c r="D4" s="120"/>
      <c r="E4" s="121"/>
      <c r="F4" s="119" t="s">
        <v>119</v>
      </c>
      <c r="G4" s="120"/>
      <c r="H4" s="121"/>
      <c r="I4" s="128"/>
      <c r="J4" s="129"/>
      <c r="K4" s="129"/>
      <c r="L4" s="130"/>
    </row>
    <row r="5" spans="1:12" x14ac:dyDescent="0.2">
      <c r="A5" s="122"/>
      <c r="B5" s="123"/>
      <c r="C5" s="123"/>
      <c r="D5" s="123"/>
      <c r="E5" s="124"/>
      <c r="F5" s="122"/>
      <c r="G5" s="123"/>
      <c r="H5" s="124"/>
      <c r="I5" s="131"/>
      <c r="J5" s="132"/>
      <c r="K5" s="132"/>
      <c r="L5" s="133"/>
    </row>
    <row r="6" spans="1:12" x14ac:dyDescent="0.2">
      <c r="A6" s="122"/>
      <c r="B6" s="123"/>
      <c r="C6" s="123"/>
      <c r="D6" s="123"/>
      <c r="E6" s="124"/>
      <c r="F6" s="122"/>
      <c r="G6" s="123"/>
      <c r="H6" s="124"/>
      <c r="I6" s="131"/>
      <c r="J6" s="132"/>
      <c r="K6" s="132"/>
      <c r="L6" s="133"/>
    </row>
    <row r="7" spans="1:12" x14ac:dyDescent="0.2">
      <c r="A7" s="125"/>
      <c r="B7" s="126"/>
      <c r="C7" s="126"/>
      <c r="D7" s="126"/>
      <c r="E7" s="127"/>
      <c r="F7" s="125"/>
      <c r="G7" s="126"/>
      <c r="H7" s="127"/>
      <c r="I7" s="134"/>
      <c r="J7" s="135"/>
      <c r="K7" s="135"/>
      <c r="L7" s="136"/>
    </row>
    <row r="9" spans="1:12" ht="15.75" x14ac:dyDescent="0.2">
      <c r="A9" s="118" t="s">
        <v>115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3" spans="1:12" ht="15.75" x14ac:dyDescent="0.2">
      <c r="B13" s="69" t="s">
        <v>127</v>
      </c>
    </row>
    <row r="15" spans="1:12" x14ac:dyDescent="0.2">
      <c r="K15" s="100"/>
    </row>
    <row r="18" spans="1:16" ht="15.75" x14ac:dyDescent="0.3">
      <c r="A18" s="26" t="s">
        <v>24</v>
      </c>
      <c r="B18" s="26" t="s">
        <v>25</v>
      </c>
      <c r="C18" s="26" t="s">
        <v>21</v>
      </c>
      <c r="D18" s="26" t="s">
        <v>26</v>
      </c>
      <c r="E18" s="26" t="s">
        <v>27</v>
      </c>
      <c r="F18" s="26" t="s">
        <v>28</v>
      </c>
      <c r="G18" s="26" t="s">
        <v>29</v>
      </c>
      <c r="J18" s="154" t="s">
        <v>102</v>
      </c>
      <c r="K18" s="101" t="s">
        <v>45</v>
      </c>
      <c r="L18" s="101" t="s">
        <v>52</v>
      </c>
      <c r="M18" s="101" t="s">
        <v>51</v>
      </c>
      <c r="N18" s="102" t="s">
        <v>88</v>
      </c>
      <c r="O18" s="101" t="s">
        <v>81</v>
      </c>
      <c r="P18" s="101" t="s">
        <v>76</v>
      </c>
    </row>
    <row r="19" spans="1:16" ht="15.75" x14ac:dyDescent="0.3">
      <c r="A19" s="21" t="s">
        <v>37</v>
      </c>
      <c r="B19" s="21" t="s">
        <v>42</v>
      </c>
      <c r="C19" s="1">
        <f>Modelo!G28</f>
        <v>10</v>
      </c>
      <c r="D19" s="27">
        <f>Modelo!H28</f>
        <v>3.0000000000000001E-3</v>
      </c>
      <c r="E19" s="28">
        <v>2</v>
      </c>
      <c r="F19" s="27">
        <f>D19/E19</f>
        <v>1.5E-3</v>
      </c>
      <c r="G19" s="17" t="s">
        <v>1</v>
      </c>
      <c r="J19" s="155"/>
      <c r="K19" s="27">
        <f>D25</f>
        <v>1.547009918778804E-2</v>
      </c>
      <c r="L19" s="27">
        <f>F26</f>
        <v>6.1616552778724441E-3</v>
      </c>
      <c r="M19" s="27">
        <f>F29</f>
        <v>1.5554340230302282E-2</v>
      </c>
      <c r="N19" s="1">
        <f>F30</f>
        <v>4.1646228320621464E-3</v>
      </c>
      <c r="O19" s="36">
        <f>F37</f>
        <v>3.8407423870045402E-4</v>
      </c>
      <c r="P19" s="27">
        <f>F31</f>
        <v>9.2914757599999991</v>
      </c>
    </row>
    <row r="20" spans="1:16" ht="15.75" x14ac:dyDescent="0.3">
      <c r="A20" s="21" t="s">
        <v>39</v>
      </c>
      <c r="B20" s="21" t="s">
        <v>43</v>
      </c>
      <c r="C20" s="1">
        <f>Modelo!G28</f>
        <v>10</v>
      </c>
      <c r="D20" s="27">
        <f>0.00021*5*C19</f>
        <v>1.0500000000000002E-2</v>
      </c>
      <c r="E20" s="27">
        <f>SQRT(3)</f>
        <v>1.7320508075688772</v>
      </c>
      <c r="F20" s="27">
        <f>D20/E20</f>
        <v>6.062177826491072E-3</v>
      </c>
      <c r="G20" s="17" t="s">
        <v>1</v>
      </c>
      <c r="I20" s="101" t="s">
        <v>45</v>
      </c>
      <c r="J20" s="16">
        <f>C25</f>
        <v>10.108000000000001</v>
      </c>
      <c r="K20" s="83">
        <f>J20+K19</f>
        <v>10.123470099187788</v>
      </c>
      <c r="L20" s="1">
        <f t="shared" ref="L20:O20" si="0">$J20</f>
        <v>10.108000000000001</v>
      </c>
      <c r="M20" s="1">
        <f t="shared" si="0"/>
        <v>10.108000000000001</v>
      </c>
      <c r="N20" s="1">
        <f t="shared" si="0"/>
        <v>10.108000000000001</v>
      </c>
      <c r="O20" s="1">
        <f t="shared" si="0"/>
        <v>10.108000000000001</v>
      </c>
      <c r="P20" s="15" t="s">
        <v>108</v>
      </c>
    </row>
    <row r="21" spans="1:16" ht="15.75" x14ac:dyDescent="0.3">
      <c r="A21" s="21" t="s">
        <v>44</v>
      </c>
      <c r="B21" s="22" t="s">
        <v>38</v>
      </c>
      <c r="C21" s="1">
        <f>Modelo!G28</f>
        <v>10</v>
      </c>
      <c r="D21" s="27">
        <f>SQRT(SUMSQ(D19,D20))</f>
        <v>1.0920164833920779E-2</v>
      </c>
      <c r="E21" s="28">
        <v>1</v>
      </c>
      <c r="F21" s="27">
        <f>D21/E21</f>
        <v>1.0920164833920779E-2</v>
      </c>
      <c r="G21" s="17" t="s">
        <v>1</v>
      </c>
      <c r="I21" s="101" t="s">
        <v>52</v>
      </c>
      <c r="J21" s="16">
        <f>C26</f>
        <v>7.7899999999999997E-2</v>
      </c>
      <c r="K21" s="1">
        <f t="shared" ref="K21:O24" si="1">$J21</f>
        <v>7.7899999999999997E-2</v>
      </c>
      <c r="L21" s="83">
        <f>J21+L19</f>
        <v>8.4061655277872446E-2</v>
      </c>
      <c r="M21" s="1">
        <f t="shared" si="1"/>
        <v>7.7899999999999997E-2</v>
      </c>
      <c r="N21" s="1">
        <f t="shared" si="1"/>
        <v>7.7899999999999997E-2</v>
      </c>
      <c r="O21" s="1">
        <f t="shared" si="1"/>
        <v>7.7899999999999997E-2</v>
      </c>
      <c r="P21" s="15" t="s">
        <v>108</v>
      </c>
    </row>
    <row r="22" spans="1:16" ht="15.75" x14ac:dyDescent="0.3">
      <c r="A22" s="21" t="s">
        <v>30</v>
      </c>
      <c r="B22" s="21" t="s">
        <v>31</v>
      </c>
      <c r="C22" s="1">
        <f>Modelo!I28</f>
        <v>101.08</v>
      </c>
      <c r="D22" s="27">
        <f>Modelo!J28</f>
        <v>2.1999999999999999E-2</v>
      </c>
      <c r="E22" s="28">
        <v>2</v>
      </c>
      <c r="F22" s="27">
        <f>D23/E22</f>
        <v>5.306700000000001E-2</v>
      </c>
      <c r="G22" s="17" t="s">
        <v>1</v>
      </c>
      <c r="I22" s="101" t="s">
        <v>51</v>
      </c>
      <c r="J22" s="15">
        <f>C29</f>
        <v>25</v>
      </c>
      <c r="K22" s="1">
        <f t="shared" si="1"/>
        <v>25</v>
      </c>
      <c r="L22" s="1">
        <f t="shared" si="1"/>
        <v>25</v>
      </c>
      <c r="M22" s="83">
        <f>J22+M19</f>
        <v>25.015554340230302</v>
      </c>
      <c r="N22" s="1">
        <f t="shared" si="1"/>
        <v>25</v>
      </c>
      <c r="O22" s="1">
        <f t="shared" si="1"/>
        <v>25</v>
      </c>
      <c r="P22" s="31" t="s">
        <v>108</v>
      </c>
    </row>
    <row r="23" spans="1:16" ht="15.75" x14ac:dyDescent="0.3">
      <c r="A23" s="21" t="s">
        <v>32</v>
      </c>
      <c r="B23" s="21" t="s">
        <v>33</v>
      </c>
      <c r="C23" s="1">
        <f>Modelo!I28</f>
        <v>101.08</v>
      </c>
      <c r="D23" s="27">
        <f>(0.00021*5*C22)</f>
        <v>0.10613400000000002</v>
      </c>
      <c r="E23" s="27">
        <f>SQRT(3)</f>
        <v>1.7320508075688772</v>
      </c>
      <c r="F23" s="27">
        <f>D22/E23</f>
        <v>1.2701705922171767E-2</v>
      </c>
      <c r="G23" s="17" t="s">
        <v>1</v>
      </c>
      <c r="I23" s="102" t="s">
        <v>88</v>
      </c>
      <c r="J23" s="16">
        <f>C30</f>
        <v>1</v>
      </c>
      <c r="K23" s="1">
        <f t="shared" si="1"/>
        <v>1</v>
      </c>
      <c r="L23" s="1">
        <f t="shared" si="1"/>
        <v>1</v>
      </c>
      <c r="M23" s="1">
        <f t="shared" si="1"/>
        <v>1</v>
      </c>
      <c r="N23" s="82">
        <f>J23+N19</f>
        <v>1.0041646228320622</v>
      </c>
      <c r="O23" s="1">
        <f t="shared" si="1"/>
        <v>1</v>
      </c>
      <c r="P23" s="31" t="s">
        <v>108</v>
      </c>
    </row>
    <row r="24" spans="1:16" ht="15.75" x14ac:dyDescent="0.3">
      <c r="A24" s="21" t="s">
        <v>34</v>
      </c>
      <c r="B24" s="22" t="s">
        <v>35</v>
      </c>
      <c r="C24" s="1">
        <f>Modelo!I28</f>
        <v>101.08</v>
      </c>
      <c r="D24" s="27">
        <f>SQRT(SUMSQ(D23,D22))</f>
        <v>0.10839015617665658</v>
      </c>
      <c r="E24" s="28">
        <v>1</v>
      </c>
      <c r="F24" s="27">
        <f t="shared" ref="F24" si="2">D24/E24</f>
        <v>0.10839015617665658</v>
      </c>
      <c r="G24" s="17" t="s">
        <v>1</v>
      </c>
      <c r="I24" s="101" t="s">
        <v>81</v>
      </c>
      <c r="J24" s="39">
        <f>C37</f>
        <v>0.25</v>
      </c>
      <c r="K24" s="1">
        <f t="shared" si="1"/>
        <v>0.25</v>
      </c>
      <c r="L24" s="1">
        <f t="shared" si="1"/>
        <v>0.25</v>
      </c>
      <c r="M24" s="1">
        <f t="shared" si="1"/>
        <v>0.25</v>
      </c>
      <c r="N24" s="1">
        <f t="shared" si="1"/>
        <v>0.25</v>
      </c>
      <c r="O24" s="83">
        <f>J24+O19</f>
        <v>0.25038407423870046</v>
      </c>
      <c r="P24" s="31" t="s">
        <v>108</v>
      </c>
    </row>
    <row r="25" spans="1:16" ht="15.75" x14ac:dyDescent="0.3">
      <c r="A25" s="81" t="s">
        <v>45</v>
      </c>
      <c r="B25" s="81" t="s">
        <v>46</v>
      </c>
      <c r="C25" s="82">
        <f>C24/C21</f>
        <v>10.108000000000001</v>
      </c>
      <c r="D25" s="83">
        <f>C24/C21*SQRT(SUMSQ(D21/C21,D24/C24))</f>
        <v>1.547009918778804E-2</v>
      </c>
      <c r="E25" s="84">
        <v>1</v>
      </c>
      <c r="F25" s="83">
        <f>D25/E25</f>
        <v>1.547009918778804E-2</v>
      </c>
      <c r="G25" s="85" t="s">
        <v>1</v>
      </c>
      <c r="J25" s="34" t="s">
        <v>97</v>
      </c>
      <c r="K25" s="1">
        <f>K21*K20*K23*K22/K24</f>
        <v>78.861832072672868</v>
      </c>
      <c r="L25" s="1">
        <f t="shared" ref="L25:O25" si="3">L21*L20*L23*L22/L24</f>
        <v>84.969521154873476</v>
      </c>
      <c r="M25" s="1">
        <f t="shared" si="3"/>
        <v>78.790310771258532</v>
      </c>
      <c r="N25" s="1">
        <f t="shared" si="3"/>
        <v>79.069247899098713</v>
      </c>
      <c r="O25" s="1">
        <f t="shared" si="3"/>
        <v>78.620535510710013</v>
      </c>
      <c r="P25" s="31" t="s">
        <v>108</v>
      </c>
    </row>
    <row r="26" spans="1:16" x14ac:dyDescent="0.2">
      <c r="A26" s="81" t="s">
        <v>52</v>
      </c>
      <c r="B26" s="92" t="s">
        <v>36</v>
      </c>
      <c r="C26" s="93">
        <f>Modelo!K28</f>
        <v>7.7899999999999997E-2</v>
      </c>
      <c r="D26" s="83">
        <f>C26*Modelo!L28</f>
        <v>1.0672300000000001E-2</v>
      </c>
      <c r="E26" s="83">
        <f>SQRT(3)</f>
        <v>1.7320508075688772</v>
      </c>
      <c r="F26" s="83">
        <f>D26/E26</f>
        <v>6.1616552778724441E-3</v>
      </c>
      <c r="G26" s="82">
        <v>2</v>
      </c>
      <c r="J26" s="34" t="s">
        <v>98</v>
      </c>
      <c r="K26" s="1">
        <f>K25-$C$39</f>
        <v>0.12051207267286657</v>
      </c>
      <c r="L26" s="1">
        <f>L25-$C$39</f>
        <v>6.2282011548734744</v>
      </c>
      <c r="M26" s="1">
        <f>M25-$C$39</f>
        <v>4.8990771258530685E-2</v>
      </c>
      <c r="N26" s="1">
        <f>N25-$C$39</f>
        <v>0.3279278990987109</v>
      </c>
      <c r="O26" s="1">
        <f>O25-$C$39</f>
        <v>-0.12078448928998853</v>
      </c>
      <c r="P26" s="27">
        <f>P19</f>
        <v>9.2914757599999991</v>
      </c>
    </row>
    <row r="27" spans="1:16" ht="15.75" x14ac:dyDescent="0.3">
      <c r="A27" s="21" t="s">
        <v>47</v>
      </c>
      <c r="B27" s="21" t="s">
        <v>49</v>
      </c>
      <c r="C27" s="1">
        <f>Modelo!D28</f>
        <v>25</v>
      </c>
      <c r="D27" s="27">
        <f>Modelo!E28</f>
        <v>7.0000000000000001E-3</v>
      </c>
      <c r="E27" s="28">
        <v>2</v>
      </c>
      <c r="F27" s="27">
        <f t="shared" ref="F27:F28" si="4">D27/E27</f>
        <v>3.5000000000000001E-3</v>
      </c>
      <c r="G27" s="17" t="s">
        <v>1</v>
      </c>
      <c r="J27" s="34" t="s">
        <v>99</v>
      </c>
      <c r="K27" s="1">
        <f>K26^2</f>
        <v>1.4523159659910273E-2</v>
      </c>
      <c r="L27" s="1">
        <f t="shared" ref="L27:O27" si="5">L26^2</f>
        <v>38.790489625567282</v>
      </c>
      <c r="M27" s="1">
        <f t="shared" si="5"/>
        <v>2.4000956685056763E-3</v>
      </c>
      <c r="N27" s="1">
        <f t="shared" si="5"/>
        <v>0.10753670700729431</v>
      </c>
      <c r="O27" s="1">
        <f t="shared" si="5"/>
        <v>1.4588892853043354E-2</v>
      </c>
      <c r="P27" s="27">
        <f>P19^2</f>
        <v>86.331521798667566</v>
      </c>
    </row>
    <row r="28" spans="1:16" ht="15.75" x14ac:dyDescent="0.3">
      <c r="A28" s="21" t="s">
        <v>48</v>
      </c>
      <c r="B28" s="21" t="s">
        <v>50</v>
      </c>
      <c r="C28" s="1">
        <f>Modelo!D28</f>
        <v>25</v>
      </c>
      <c r="D28" s="27">
        <f>0.00021*5*C28</f>
        <v>2.6250000000000002E-2</v>
      </c>
      <c r="E28" s="27">
        <f>SQRT(3)</f>
        <v>1.7320508075688772</v>
      </c>
      <c r="F28" s="27">
        <f t="shared" si="4"/>
        <v>1.5155444566227678E-2</v>
      </c>
      <c r="G28" s="17" t="s">
        <v>1</v>
      </c>
      <c r="J28" s="35" t="s">
        <v>100</v>
      </c>
      <c r="K28" s="29">
        <f>SUM(K27:P27)</f>
        <v>125.26106027942359</v>
      </c>
    </row>
    <row r="29" spans="1:16" ht="15.75" x14ac:dyDescent="0.3">
      <c r="A29" s="81" t="s">
        <v>51</v>
      </c>
      <c r="B29" s="81" t="s">
        <v>49</v>
      </c>
      <c r="C29" s="82">
        <f>Modelo!D28</f>
        <v>25</v>
      </c>
      <c r="D29" s="83">
        <f>SQRT(SUMSQ(D27/E27,D28/E28))</f>
        <v>1.5554340230302282E-2</v>
      </c>
      <c r="E29" s="84">
        <v>1</v>
      </c>
      <c r="F29" s="83">
        <f>D29/E29</f>
        <v>1.5554340230302282E-2</v>
      </c>
      <c r="G29" s="85" t="s">
        <v>1</v>
      </c>
      <c r="J29" s="33" t="s">
        <v>26</v>
      </c>
      <c r="K29" s="44">
        <f>SQRT(K28)</f>
        <v>11.192008768734217</v>
      </c>
    </row>
    <row r="30" spans="1:16" ht="15.75" x14ac:dyDescent="0.3">
      <c r="A30" s="94" t="s">
        <v>88</v>
      </c>
      <c r="B30" s="95" t="str">
        <f>Fcal!C30</f>
        <v>Fator de calibração</v>
      </c>
      <c r="C30" s="82">
        <f>Fcal!D30</f>
        <v>1</v>
      </c>
      <c r="D30" s="82">
        <f>Fcal!E30</f>
        <v>4.1646228320621464E-3</v>
      </c>
      <c r="E30" s="82">
        <f>Fcal!F30</f>
        <v>1</v>
      </c>
      <c r="F30" s="82">
        <f>Fcal!G30</f>
        <v>4.1646228320621464E-3</v>
      </c>
      <c r="G30" s="82" t="str">
        <f>Fcal!H30</f>
        <v>∞</v>
      </c>
      <c r="J30" s="33" t="s">
        <v>101</v>
      </c>
      <c r="K30" s="45">
        <f>K27/$K$28</f>
        <v>1.1594313210756021E-4</v>
      </c>
      <c r="L30" s="45">
        <f t="shared" ref="L30:P30" si="6">L27/$K$28</f>
        <v>0.30967716175351045</v>
      </c>
      <c r="M30" s="45">
        <f t="shared" si="6"/>
        <v>1.9160748465258964E-5</v>
      </c>
      <c r="N30" s="45">
        <f t="shared" si="6"/>
        <v>8.585006926127638E-4</v>
      </c>
      <c r="O30" s="45">
        <f t="shared" si="6"/>
        <v>1.164679016806937E-4</v>
      </c>
      <c r="P30" s="45">
        <f t="shared" si="6"/>
        <v>0.68921276577162338</v>
      </c>
    </row>
    <row r="31" spans="1:16" ht="15.75" x14ac:dyDescent="0.3">
      <c r="A31" s="81" t="s">
        <v>40</v>
      </c>
      <c r="B31" s="86" t="s">
        <v>41</v>
      </c>
      <c r="C31" s="96">
        <f>Modelo!N28</f>
        <v>0.11799999999999999</v>
      </c>
      <c r="D31" s="97">
        <f>C31*C39</f>
        <v>9.2914757599999991</v>
      </c>
      <c r="E31" s="83">
        <v>1</v>
      </c>
      <c r="F31" s="83">
        <f>D31/E31</f>
        <v>9.2914757599999991</v>
      </c>
      <c r="G31" s="82">
        <f>Modelo!M28-1</f>
        <v>2</v>
      </c>
    </row>
    <row r="32" spans="1:16" ht="38.25" x14ac:dyDescent="0.3">
      <c r="A32" s="21" t="s">
        <v>77</v>
      </c>
      <c r="B32" s="21" t="s">
        <v>83</v>
      </c>
      <c r="C32" s="29">
        <f>Modelo!B28</f>
        <v>0.25</v>
      </c>
      <c r="D32" s="22">
        <f>Modelo!C28</f>
        <v>5.0000000000000001E-4</v>
      </c>
      <c r="E32" s="29">
        <v>2</v>
      </c>
      <c r="F32" s="1">
        <f>D32/E32</f>
        <v>2.5000000000000001E-4</v>
      </c>
      <c r="G32" s="17" t="s">
        <v>1</v>
      </c>
      <c r="J32" s="62" t="s">
        <v>113</v>
      </c>
      <c r="K32" s="62" t="s">
        <v>109</v>
      </c>
      <c r="L32" s="62" t="s">
        <v>110</v>
      </c>
      <c r="M32" s="156" t="s">
        <v>111</v>
      </c>
      <c r="N32" s="156"/>
      <c r="O32" s="56" t="s">
        <v>20</v>
      </c>
      <c r="P32" s="62" t="s">
        <v>112</v>
      </c>
    </row>
    <row r="33" spans="1:16" ht="15.75" x14ac:dyDescent="0.3">
      <c r="A33" s="21" t="s">
        <v>82</v>
      </c>
      <c r="B33" s="21" t="s">
        <v>84</v>
      </c>
      <c r="C33" s="29">
        <f>$C$32</f>
        <v>0.25</v>
      </c>
      <c r="D33" s="29">
        <f>0.000005*5*C33</f>
        <v>6.2500000000000003E-6</v>
      </c>
      <c r="E33" s="29">
        <f>SQRT(3)</f>
        <v>1.7320508075688772</v>
      </c>
      <c r="F33" s="1">
        <f t="shared" ref="F33:F37" si="7">D33/E33</f>
        <v>3.6084391824351616E-6</v>
      </c>
      <c r="G33" s="17" t="s">
        <v>1</v>
      </c>
      <c r="J33" s="30">
        <f>K29</f>
        <v>11.192008768734217</v>
      </c>
      <c r="K33" s="43">
        <f>K29^4*(L26^4/G26+P26^4/G31)</f>
        <v>70275698.176888272</v>
      </c>
      <c r="L33" s="41">
        <f>IFERROR(TINV(0.0455,K33),2)</f>
        <v>2.0000024803004064</v>
      </c>
      <c r="M33" s="157">
        <f>L33*J33</f>
        <v>22.384045297012332</v>
      </c>
      <c r="N33" s="158"/>
      <c r="O33" s="15" t="s">
        <v>3</v>
      </c>
      <c r="P33" s="46">
        <f>M33/C39</f>
        <v>0.28427317826285275</v>
      </c>
    </row>
    <row r="34" spans="1:16" ht="15.75" x14ac:dyDescent="0.3">
      <c r="A34" s="21" t="s">
        <v>79</v>
      </c>
      <c r="B34" s="21" t="s">
        <v>85</v>
      </c>
      <c r="C34" s="29">
        <f>$C$32</f>
        <v>0.25</v>
      </c>
      <c r="D34" s="29">
        <v>5.0000000000000002E-5</v>
      </c>
      <c r="E34" s="29">
        <f>SQRT(3)</f>
        <v>1.7320508075688772</v>
      </c>
      <c r="F34" s="1">
        <f t="shared" si="7"/>
        <v>2.8867513459481293E-5</v>
      </c>
      <c r="G34" s="17" t="s">
        <v>1</v>
      </c>
    </row>
    <row r="35" spans="1:16" ht="15.75" x14ac:dyDescent="0.3">
      <c r="A35" s="22" t="s">
        <v>80</v>
      </c>
      <c r="B35" s="22" t="s">
        <v>86</v>
      </c>
      <c r="C35" s="29">
        <f>$C$32</f>
        <v>0.25</v>
      </c>
      <c r="D35" s="29">
        <v>5.0000000000000001E-4</v>
      </c>
      <c r="E35" s="29">
        <f>SQRT(3)</f>
        <v>1.7320508075688772</v>
      </c>
      <c r="F35" s="1">
        <f t="shared" si="7"/>
        <v>2.886751345948129E-4</v>
      </c>
      <c r="G35" s="17" t="s">
        <v>1</v>
      </c>
    </row>
    <row r="36" spans="1:16" ht="15.75" x14ac:dyDescent="0.3">
      <c r="A36" s="22" t="s">
        <v>78</v>
      </c>
      <c r="B36" s="22" t="s">
        <v>87</v>
      </c>
      <c r="C36" s="29">
        <f>$C$32</f>
        <v>0.25</v>
      </c>
      <c r="D36" s="29">
        <f>0.00005</f>
        <v>5.0000000000000002E-5</v>
      </c>
      <c r="E36" s="29">
        <f>SQRT(3)</f>
        <v>1.7320508075688772</v>
      </c>
      <c r="F36" s="1">
        <f t="shared" si="7"/>
        <v>2.8867513459481293E-5</v>
      </c>
      <c r="G36" s="17" t="s">
        <v>1</v>
      </c>
    </row>
    <row r="37" spans="1:16" ht="15.75" x14ac:dyDescent="0.3">
      <c r="A37" s="81" t="s">
        <v>81</v>
      </c>
      <c r="B37" s="81" t="s">
        <v>83</v>
      </c>
      <c r="C37" s="98">
        <f>$C$32</f>
        <v>0.25</v>
      </c>
      <c r="D37" s="98">
        <f>SQRT(SUMSQ(F32:F36))</f>
        <v>3.8407423870045402E-4</v>
      </c>
      <c r="E37" s="98">
        <v>1</v>
      </c>
      <c r="F37" s="82">
        <f t="shared" si="7"/>
        <v>3.8407423870045402E-4</v>
      </c>
      <c r="G37" s="85" t="s">
        <v>1</v>
      </c>
    </row>
    <row r="38" spans="1:16" x14ac:dyDescent="0.2">
      <c r="G38" s="4"/>
    </row>
    <row r="39" spans="1:16" x14ac:dyDescent="0.2">
      <c r="B39" s="47" t="s">
        <v>22</v>
      </c>
      <c r="C39" s="47">
        <f>J21*J20*J23*J22/J24</f>
        <v>78.741320000000002</v>
      </c>
      <c r="D39" s="13"/>
      <c r="G39" s="4"/>
    </row>
    <row r="41" spans="1:16" x14ac:dyDescent="0.2">
      <c r="A41" s="139" t="s">
        <v>126</v>
      </c>
      <c r="B41" s="140"/>
      <c r="C41" s="140"/>
      <c r="D41" s="141"/>
      <c r="E41" s="142" t="s">
        <v>139</v>
      </c>
      <c r="F41" s="143"/>
      <c r="G41" s="144"/>
      <c r="H41" s="145" t="s">
        <v>140</v>
      </c>
      <c r="I41" s="146"/>
      <c r="J41" s="146"/>
      <c r="K41" s="146"/>
      <c r="L41" s="146"/>
      <c r="M41" s="146"/>
      <c r="N41" s="146"/>
      <c r="O41" s="147"/>
    </row>
  </sheetData>
  <sheetProtection sheet="1" objects="1" scenarios="1"/>
  <mergeCells count="11">
    <mergeCell ref="A41:D41"/>
    <mergeCell ref="E41:G41"/>
    <mergeCell ref="H41:O41"/>
    <mergeCell ref="J18:J19"/>
    <mergeCell ref="M32:N32"/>
    <mergeCell ref="M33:N33"/>
    <mergeCell ref="A9:L9"/>
    <mergeCell ref="A3:E3"/>
    <mergeCell ref="A4:E7"/>
    <mergeCell ref="F4:H7"/>
    <mergeCell ref="I4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r:id="rId5">
            <anchor moveWithCells="1">
              <from>
                <xdr:col>2</xdr:col>
                <xdr:colOff>180975</xdr:colOff>
                <xdr:row>10</xdr:row>
                <xdr:rowOff>28575</xdr:rowOff>
              </from>
              <to>
                <xdr:col>7</xdr:col>
                <xdr:colOff>76200</xdr:colOff>
                <xdr:row>13</xdr:row>
                <xdr:rowOff>104775</xdr:rowOff>
              </to>
            </anchor>
          </objectPr>
        </oleObject>
      </mc:Choice>
      <mc:Fallback>
        <oleObject progId="Equation.3" shapeId="1536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showGridLines="0" workbookViewId="0">
      <selection activeCell="D17" sqref="D17"/>
    </sheetView>
  </sheetViews>
  <sheetFormatPr defaultRowHeight="12.75" x14ac:dyDescent="0.2"/>
  <cols>
    <col min="1" max="1" width="20.85546875" bestFit="1" customWidth="1"/>
    <col min="2" max="2" width="33.42578125" bestFit="1" customWidth="1"/>
    <col min="3" max="3" width="9" customWidth="1"/>
    <col min="4" max="4" width="11" bestFit="1" customWidth="1"/>
    <col min="5" max="5" width="7" bestFit="1" customWidth="1"/>
    <col min="6" max="6" width="16.5703125" bestFit="1" customWidth="1"/>
    <col min="8" max="8" width="4.5703125" customWidth="1"/>
    <col min="9" max="9" width="6.5703125" bestFit="1" customWidth="1"/>
    <col min="10" max="10" width="21.140625" bestFit="1" customWidth="1"/>
    <col min="11" max="11" width="13.140625" bestFit="1" customWidth="1"/>
    <col min="16" max="16" width="6.28515625" bestFit="1" customWidth="1"/>
  </cols>
  <sheetData>
    <row r="1" spans="1:15" x14ac:dyDescent="0.2">
      <c r="A1" s="70" t="s">
        <v>129</v>
      </c>
      <c r="B1" s="71"/>
      <c r="C1" s="71"/>
      <c r="D1" s="71"/>
      <c r="E1" s="71"/>
      <c r="F1" s="71"/>
      <c r="G1" s="71"/>
      <c r="H1" s="76" t="s">
        <v>141</v>
      </c>
      <c r="I1" s="71"/>
      <c r="J1" s="71"/>
      <c r="K1" s="71"/>
      <c r="L1" s="72"/>
    </row>
    <row r="2" spans="1:15" x14ac:dyDescent="0.2">
      <c r="A2" s="75" t="s">
        <v>124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1:15" ht="15" x14ac:dyDescent="0.25">
      <c r="A3" s="117"/>
      <c r="B3" s="117"/>
      <c r="C3" s="117"/>
      <c r="D3" s="117"/>
      <c r="E3" s="117"/>
      <c r="F3" s="67"/>
      <c r="G3" s="67"/>
      <c r="H3" s="67"/>
    </row>
    <row r="4" spans="1:15" x14ac:dyDescent="0.2">
      <c r="A4" s="119" t="s">
        <v>125</v>
      </c>
      <c r="B4" s="120"/>
      <c r="C4" s="120"/>
      <c r="D4" s="120"/>
      <c r="E4" s="121"/>
      <c r="F4" s="119" t="s">
        <v>119</v>
      </c>
      <c r="G4" s="120"/>
      <c r="H4" s="121"/>
      <c r="I4" s="128"/>
      <c r="J4" s="129"/>
      <c r="K4" s="129"/>
      <c r="L4" s="130"/>
    </row>
    <row r="5" spans="1:15" x14ac:dyDescent="0.2">
      <c r="A5" s="122"/>
      <c r="B5" s="123"/>
      <c r="C5" s="123"/>
      <c r="D5" s="123"/>
      <c r="E5" s="124"/>
      <c r="F5" s="122"/>
      <c r="G5" s="123"/>
      <c r="H5" s="124"/>
      <c r="I5" s="131"/>
      <c r="J5" s="132"/>
      <c r="K5" s="132"/>
      <c r="L5" s="133"/>
    </row>
    <row r="6" spans="1:15" x14ac:dyDescent="0.2">
      <c r="A6" s="122"/>
      <c r="B6" s="123"/>
      <c r="C6" s="123"/>
      <c r="D6" s="123"/>
      <c r="E6" s="124"/>
      <c r="F6" s="122"/>
      <c r="G6" s="123"/>
      <c r="H6" s="124"/>
      <c r="I6" s="131"/>
      <c r="J6" s="132"/>
      <c r="K6" s="132"/>
      <c r="L6" s="133"/>
    </row>
    <row r="7" spans="1:15" x14ac:dyDescent="0.2">
      <c r="A7" s="125"/>
      <c r="B7" s="126"/>
      <c r="C7" s="126"/>
      <c r="D7" s="126"/>
      <c r="E7" s="127"/>
      <c r="F7" s="125"/>
      <c r="G7" s="126"/>
      <c r="H7" s="127"/>
      <c r="I7" s="134"/>
      <c r="J7" s="135"/>
      <c r="K7" s="135"/>
      <c r="L7" s="136"/>
    </row>
    <row r="9" spans="1:15" ht="15.75" x14ac:dyDescent="0.2">
      <c r="A9" s="118" t="s">
        <v>115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</row>
    <row r="12" spans="1:15" ht="15.75" x14ac:dyDescent="0.2">
      <c r="B12" s="77" t="s">
        <v>128</v>
      </c>
    </row>
    <row r="16" spans="1:15" ht="15.75" x14ac:dyDescent="0.3">
      <c r="A16" s="26" t="s">
        <v>24</v>
      </c>
      <c r="B16" s="26" t="s">
        <v>25</v>
      </c>
      <c r="C16" s="26" t="s">
        <v>21</v>
      </c>
      <c r="D16" s="26" t="s">
        <v>26</v>
      </c>
      <c r="E16" s="26" t="s">
        <v>27</v>
      </c>
      <c r="F16" s="26" t="s">
        <v>28</v>
      </c>
      <c r="G16" s="26" t="s">
        <v>29</v>
      </c>
      <c r="J16" s="154" t="s">
        <v>102</v>
      </c>
      <c r="K16" s="80" t="s">
        <v>103</v>
      </c>
      <c r="L16" s="80" t="s">
        <v>104</v>
      </c>
      <c r="M16" s="80" t="s">
        <v>105</v>
      </c>
      <c r="N16" s="80" t="s">
        <v>106</v>
      </c>
      <c r="O16" s="80" t="s">
        <v>107</v>
      </c>
    </row>
    <row r="17" spans="1:16" x14ac:dyDescent="0.2">
      <c r="A17" s="81" t="s">
        <v>52</v>
      </c>
      <c r="B17" s="92" t="s">
        <v>36</v>
      </c>
      <c r="C17" s="93">
        <f>Modelo!K28</f>
        <v>7.7899999999999997E-2</v>
      </c>
      <c r="D17" s="83">
        <f>C17*Modelo!L28</f>
        <v>1.0672300000000001E-2</v>
      </c>
      <c r="E17" s="83">
        <f>SQRT(3)</f>
        <v>1.7320508075688772</v>
      </c>
      <c r="F17" s="83">
        <f>D17/E17</f>
        <v>6.1616552778724441E-3</v>
      </c>
      <c r="G17" s="82">
        <v>2</v>
      </c>
      <c r="J17" s="154"/>
      <c r="K17" s="27">
        <f>F17</f>
        <v>6.1616552778724441E-3</v>
      </c>
      <c r="L17" s="27">
        <f>F20</f>
        <v>1.5554340230302282E-2</v>
      </c>
      <c r="M17" s="1">
        <f>F21</f>
        <v>4.1646228320621464E-3</v>
      </c>
      <c r="N17" s="36">
        <f>F28</f>
        <v>3.8407423870045402E-4</v>
      </c>
      <c r="O17" s="27">
        <f>F22</f>
        <v>0.91921999999999993</v>
      </c>
    </row>
    <row r="18" spans="1:16" ht="15.75" x14ac:dyDescent="0.3">
      <c r="A18" s="21" t="s">
        <v>47</v>
      </c>
      <c r="B18" s="21" t="s">
        <v>49</v>
      </c>
      <c r="C18" s="1">
        <f>Modelo!D28</f>
        <v>25</v>
      </c>
      <c r="D18" s="27">
        <f>Modelo!E28</f>
        <v>7.0000000000000001E-3</v>
      </c>
      <c r="E18" s="28">
        <v>2</v>
      </c>
      <c r="F18" s="27">
        <f t="shared" ref="F18:F19" si="0">D18/E18</f>
        <v>3.5000000000000001E-3</v>
      </c>
      <c r="G18" s="17" t="s">
        <v>1</v>
      </c>
      <c r="I18" s="101" t="s">
        <v>52</v>
      </c>
      <c r="J18" s="16">
        <f>C17</f>
        <v>7.7899999999999997E-2</v>
      </c>
      <c r="K18" s="83">
        <f>J18+K17</f>
        <v>8.4061655277872446E-2</v>
      </c>
      <c r="L18" s="1">
        <f>$J18</f>
        <v>7.7899999999999997E-2</v>
      </c>
      <c r="M18" s="1">
        <f>$J18</f>
        <v>7.7899999999999997E-2</v>
      </c>
      <c r="N18" s="1">
        <f>$J18</f>
        <v>7.7899999999999997E-2</v>
      </c>
      <c r="O18" s="15" t="s">
        <v>108</v>
      </c>
    </row>
    <row r="19" spans="1:16" ht="15.75" x14ac:dyDescent="0.3">
      <c r="A19" s="21" t="s">
        <v>48</v>
      </c>
      <c r="B19" s="21" t="s">
        <v>50</v>
      </c>
      <c r="C19" s="1">
        <f>Modelo!D28</f>
        <v>25</v>
      </c>
      <c r="D19" s="27">
        <f>0.00021*5*C19</f>
        <v>2.6250000000000002E-2</v>
      </c>
      <c r="E19" s="27">
        <f>SQRT(3)</f>
        <v>1.7320508075688772</v>
      </c>
      <c r="F19" s="27">
        <f t="shared" si="0"/>
        <v>1.5155444566227678E-2</v>
      </c>
      <c r="G19" s="17" t="s">
        <v>1</v>
      </c>
      <c r="I19" s="101" t="s">
        <v>51</v>
      </c>
      <c r="J19" s="37">
        <f>C20</f>
        <v>25</v>
      </c>
      <c r="K19" s="1">
        <f>$J19</f>
        <v>25</v>
      </c>
      <c r="L19" s="83">
        <f>J19+L17</f>
        <v>25.015554340230302</v>
      </c>
      <c r="M19" s="1">
        <f>$J19</f>
        <v>25</v>
      </c>
      <c r="N19" s="1">
        <f>$J19</f>
        <v>25</v>
      </c>
      <c r="O19" s="15" t="s">
        <v>108</v>
      </c>
    </row>
    <row r="20" spans="1:16" ht="15.75" x14ac:dyDescent="0.3">
      <c r="A20" s="81" t="s">
        <v>51</v>
      </c>
      <c r="B20" s="81" t="s">
        <v>49</v>
      </c>
      <c r="C20" s="82">
        <f>Modelo!D28</f>
        <v>25</v>
      </c>
      <c r="D20" s="83">
        <f>SQRT(SUMSQ(D18/E18,D19/E19))</f>
        <v>1.5554340230302282E-2</v>
      </c>
      <c r="E20" s="84">
        <v>1</v>
      </c>
      <c r="F20" s="83">
        <f>D20/E20</f>
        <v>1.5554340230302282E-2</v>
      </c>
      <c r="G20" s="85" t="s">
        <v>1</v>
      </c>
      <c r="I20" s="102" t="s">
        <v>88</v>
      </c>
      <c r="J20" s="38">
        <f>C21</f>
        <v>1</v>
      </c>
      <c r="K20" s="1">
        <f>$J20</f>
        <v>1</v>
      </c>
      <c r="L20" s="1">
        <f>$J20</f>
        <v>1</v>
      </c>
      <c r="M20" s="82">
        <f>J20+M17</f>
        <v>1.0041646228320622</v>
      </c>
      <c r="N20" s="1">
        <f>$J20</f>
        <v>1</v>
      </c>
      <c r="O20" s="31" t="s">
        <v>108</v>
      </c>
    </row>
    <row r="21" spans="1:16" ht="15.75" x14ac:dyDescent="0.3">
      <c r="A21" s="94" t="s">
        <v>88</v>
      </c>
      <c r="B21" s="95" t="str">
        <f>Fcal!C30</f>
        <v>Fator de calibração</v>
      </c>
      <c r="C21" s="82">
        <f>Fcal!D30</f>
        <v>1</v>
      </c>
      <c r="D21" s="82">
        <f>Fcal!E30</f>
        <v>4.1646228320621464E-3</v>
      </c>
      <c r="E21" s="82">
        <f>Fcal!F30</f>
        <v>1</v>
      </c>
      <c r="F21" s="82">
        <f>Fcal!G30</f>
        <v>4.1646228320621464E-3</v>
      </c>
      <c r="G21" s="82" t="str">
        <f>Fcal!H30</f>
        <v>∞</v>
      </c>
      <c r="I21" s="101" t="s">
        <v>81</v>
      </c>
      <c r="J21" s="39">
        <f>C28</f>
        <v>0.25</v>
      </c>
      <c r="K21" s="1">
        <f>$J21</f>
        <v>0.25</v>
      </c>
      <c r="L21" s="1">
        <f>$J21</f>
        <v>0.25</v>
      </c>
      <c r="M21" s="1">
        <f>$J21</f>
        <v>0.25</v>
      </c>
      <c r="N21" s="83">
        <f>J21+N17</f>
        <v>0.25038407423870046</v>
      </c>
      <c r="O21" s="31" t="s">
        <v>108</v>
      </c>
    </row>
    <row r="22" spans="1:16" ht="15.75" x14ac:dyDescent="0.3">
      <c r="A22" s="81" t="s">
        <v>40</v>
      </c>
      <c r="B22" s="86" t="s">
        <v>41</v>
      </c>
      <c r="C22" s="96">
        <f>Modelo!N28</f>
        <v>0.11799999999999999</v>
      </c>
      <c r="D22" s="97">
        <f>C22*C30</f>
        <v>0.91921999999999993</v>
      </c>
      <c r="E22" s="84">
        <v>1</v>
      </c>
      <c r="F22" s="83">
        <f>D22/E22</f>
        <v>0.91921999999999993</v>
      </c>
      <c r="G22" s="82">
        <f>Modelo!M28-1</f>
        <v>2</v>
      </c>
      <c r="J22" s="33" t="s">
        <v>97</v>
      </c>
      <c r="K22" s="1">
        <f t="shared" ref="K22:N22" si="1">K18*K20*K19/K21</f>
        <v>8.4061655277872447</v>
      </c>
      <c r="L22" s="1">
        <f t="shared" si="1"/>
        <v>7.7948467324157615</v>
      </c>
      <c r="M22" s="1">
        <f t="shared" si="1"/>
        <v>7.8224424118617648</v>
      </c>
      <c r="N22" s="1">
        <f t="shared" si="1"/>
        <v>7.7780506045419475</v>
      </c>
      <c r="O22" s="31" t="s">
        <v>108</v>
      </c>
    </row>
    <row r="23" spans="1:16" ht="15.75" x14ac:dyDescent="0.3">
      <c r="A23" s="21" t="s">
        <v>77</v>
      </c>
      <c r="B23" s="21" t="s">
        <v>83</v>
      </c>
      <c r="C23" s="29">
        <f>Modelo!B28</f>
        <v>0.25</v>
      </c>
      <c r="D23" s="31">
        <f>Modelo!C28</f>
        <v>5.0000000000000001E-4</v>
      </c>
      <c r="E23" s="28">
        <v>2</v>
      </c>
      <c r="F23" s="1">
        <f>D23/E23</f>
        <v>2.5000000000000001E-4</v>
      </c>
      <c r="G23" s="17" t="s">
        <v>1</v>
      </c>
      <c r="J23" s="33" t="s">
        <v>98</v>
      </c>
      <c r="K23" s="1">
        <f>K22-$C$30</f>
        <v>0.61616552778724465</v>
      </c>
      <c r="L23" s="1">
        <f>L22-$C$30</f>
        <v>4.846732415761501E-3</v>
      </c>
      <c r="M23" s="1">
        <f>M22-$C$30</f>
        <v>3.2442411861764775E-2</v>
      </c>
      <c r="N23" s="1">
        <f>N22-$C$30</f>
        <v>-1.1949395458052514E-2</v>
      </c>
      <c r="O23" s="27">
        <f>O17</f>
        <v>0.91921999999999993</v>
      </c>
    </row>
    <row r="24" spans="1:16" ht="15.75" x14ac:dyDescent="0.3">
      <c r="A24" s="21" t="s">
        <v>82</v>
      </c>
      <c r="B24" s="21" t="s">
        <v>84</v>
      </c>
      <c r="C24" s="29">
        <f>$C$23</f>
        <v>0.25</v>
      </c>
      <c r="D24" s="1">
        <f>0.000005*5*C24</f>
        <v>6.2500000000000003E-6</v>
      </c>
      <c r="E24" s="29">
        <f>SQRT(3)</f>
        <v>1.7320508075688772</v>
      </c>
      <c r="F24" s="1">
        <f t="shared" ref="F24:F28" si="2">D24/E24</f>
        <v>3.6084391824351616E-6</v>
      </c>
      <c r="G24" s="17" t="s">
        <v>1</v>
      </c>
      <c r="J24" s="33" t="s">
        <v>99</v>
      </c>
      <c r="K24" s="1">
        <f>K23^2</f>
        <v>0.37965995763333377</v>
      </c>
      <c r="L24" s="1">
        <f t="shared" ref="L24:N24" si="3">L23^2</f>
        <v>2.3490815109993316E-5</v>
      </c>
      <c r="M24" s="1">
        <f t="shared" si="3"/>
        <v>1.0525100874083757E-3</v>
      </c>
      <c r="N24" s="1">
        <f t="shared" si="3"/>
        <v>1.4278805181292605E-4</v>
      </c>
      <c r="O24" s="27">
        <f>O17^2</f>
        <v>0.8449654083999999</v>
      </c>
    </row>
    <row r="25" spans="1:16" ht="15.75" x14ac:dyDescent="0.3">
      <c r="A25" s="21" t="s">
        <v>79</v>
      </c>
      <c r="B25" s="21" t="s">
        <v>85</v>
      </c>
      <c r="C25" s="29">
        <f>$C$23</f>
        <v>0.25</v>
      </c>
      <c r="D25" s="1">
        <v>5.0000000000000002E-5</v>
      </c>
      <c r="E25" s="29">
        <f>SQRT(3)</f>
        <v>1.7320508075688772</v>
      </c>
      <c r="F25" s="1">
        <f t="shared" si="2"/>
        <v>2.8867513459481293E-5</v>
      </c>
      <c r="G25" s="17" t="s">
        <v>1</v>
      </c>
      <c r="J25" s="35" t="s">
        <v>100</v>
      </c>
      <c r="K25" s="41">
        <f>SUM(K24:O24)</f>
        <v>1.2258441549876649</v>
      </c>
    </row>
    <row r="26" spans="1:16" ht="15.75" x14ac:dyDescent="0.3">
      <c r="A26" s="22" t="s">
        <v>80</v>
      </c>
      <c r="B26" s="22" t="s">
        <v>86</v>
      </c>
      <c r="C26" s="29">
        <f>$C$23</f>
        <v>0.25</v>
      </c>
      <c r="D26" s="1">
        <v>5.0000000000000001E-4</v>
      </c>
      <c r="E26" s="29">
        <f>SQRT(3)</f>
        <v>1.7320508075688772</v>
      </c>
      <c r="F26" s="1">
        <f t="shared" si="2"/>
        <v>2.886751345948129E-4</v>
      </c>
      <c r="G26" s="17" t="s">
        <v>1</v>
      </c>
      <c r="J26" s="33" t="s">
        <v>26</v>
      </c>
      <c r="K26" s="41">
        <f>SQRT(K25)</f>
        <v>1.1071784657351609</v>
      </c>
    </row>
    <row r="27" spans="1:16" ht="15.75" x14ac:dyDescent="0.3">
      <c r="A27" s="22" t="s">
        <v>78</v>
      </c>
      <c r="B27" s="22" t="s">
        <v>87</v>
      </c>
      <c r="C27" s="29">
        <f>$C$23</f>
        <v>0.25</v>
      </c>
      <c r="D27" s="1">
        <f>0.00005</f>
        <v>5.0000000000000002E-5</v>
      </c>
      <c r="E27" s="29">
        <f>SQRT(3)</f>
        <v>1.7320508075688772</v>
      </c>
      <c r="F27" s="1">
        <f t="shared" si="2"/>
        <v>2.8867513459481293E-5</v>
      </c>
      <c r="G27" s="17" t="s">
        <v>1</v>
      </c>
      <c r="J27" s="33" t="s">
        <v>101</v>
      </c>
      <c r="K27" s="40">
        <f>K24/$K$25</f>
        <v>0.30971307085699984</v>
      </c>
      <c r="L27" s="40">
        <f>L24/$K$25</f>
        <v>1.9162970280043221E-5</v>
      </c>
      <c r="M27" s="40">
        <f>M24/$K$25</f>
        <v>8.5860024141402099E-4</v>
      </c>
      <c r="N27" s="40">
        <f>N24/$K$25</f>
        <v>1.1648140689985414E-4</v>
      </c>
      <c r="O27" s="40">
        <f>O24/$K$25</f>
        <v>0.68929268452440629</v>
      </c>
    </row>
    <row r="28" spans="1:16" ht="15.75" x14ac:dyDescent="0.3">
      <c r="A28" s="81" t="s">
        <v>81</v>
      </c>
      <c r="B28" s="81" t="s">
        <v>83</v>
      </c>
      <c r="C28" s="98">
        <f>$C$23</f>
        <v>0.25</v>
      </c>
      <c r="D28" s="82">
        <f>SQRT(SUMSQ(F23:F27))</f>
        <v>3.8407423870045402E-4</v>
      </c>
      <c r="E28" s="98">
        <v>1</v>
      </c>
      <c r="F28" s="82">
        <f t="shared" si="2"/>
        <v>3.8407423870045402E-4</v>
      </c>
      <c r="G28" s="82" t="s">
        <v>1</v>
      </c>
    </row>
    <row r="29" spans="1:16" ht="38.25" x14ac:dyDescent="0.2">
      <c r="G29" s="4"/>
      <c r="J29" s="55" t="s">
        <v>113</v>
      </c>
      <c r="K29" s="55" t="s">
        <v>109</v>
      </c>
      <c r="L29" s="55" t="s">
        <v>110</v>
      </c>
      <c r="M29" s="156" t="s">
        <v>111</v>
      </c>
      <c r="N29" s="156"/>
      <c r="O29" s="56" t="s">
        <v>20</v>
      </c>
      <c r="P29" s="55" t="s">
        <v>112</v>
      </c>
    </row>
    <row r="30" spans="1:16" x14ac:dyDescent="0.2">
      <c r="B30" s="99" t="s">
        <v>22</v>
      </c>
      <c r="C30" s="42">
        <f>J18*J20*J19/J21</f>
        <v>7.79</v>
      </c>
      <c r="D30" s="13"/>
      <c r="G30" s="4"/>
      <c r="J30" s="30">
        <f>K26</f>
        <v>1.1071784657351609</v>
      </c>
      <c r="K30" s="43">
        <f>K26^4*(K23^4/G17+O23^4/G22)</f>
        <v>0.64473699419422581</v>
      </c>
      <c r="L30" s="41">
        <f>IFERROR(TINV(0.0455,K30),2)</f>
        <v>2</v>
      </c>
      <c r="M30" s="157">
        <f>L30*J30</f>
        <v>2.2143569314703218</v>
      </c>
      <c r="N30" s="158"/>
      <c r="O30" s="15" t="s">
        <v>3</v>
      </c>
      <c r="P30" s="45">
        <f>M30/C30</f>
        <v>0.28425634550325052</v>
      </c>
    </row>
    <row r="31" spans="1:16" x14ac:dyDescent="0.2">
      <c r="J31" s="13"/>
      <c r="K31" s="32"/>
    </row>
    <row r="32" spans="1:16" x14ac:dyDescent="0.2">
      <c r="A32" s="139" t="s">
        <v>126</v>
      </c>
      <c r="B32" s="140"/>
      <c r="C32" s="140"/>
      <c r="D32" s="141"/>
      <c r="E32" s="142" t="s">
        <v>139</v>
      </c>
      <c r="F32" s="143"/>
      <c r="G32" s="144"/>
      <c r="H32" s="145" t="s">
        <v>140</v>
      </c>
      <c r="I32" s="146"/>
      <c r="J32" s="146"/>
      <c r="K32" s="146"/>
      <c r="L32" s="146"/>
      <c r="M32" s="146"/>
      <c r="N32" s="146"/>
      <c r="O32" s="146"/>
      <c r="P32" s="147"/>
    </row>
  </sheetData>
  <sheetProtection sheet="1" objects="1" scenarios="1"/>
  <mergeCells count="11">
    <mergeCell ref="A32:D32"/>
    <mergeCell ref="E32:G32"/>
    <mergeCell ref="H32:P32"/>
    <mergeCell ref="J16:J17"/>
    <mergeCell ref="M29:N29"/>
    <mergeCell ref="M30:N30"/>
    <mergeCell ref="A9:L9"/>
    <mergeCell ref="A3:E3"/>
    <mergeCell ref="A4:E7"/>
    <mergeCell ref="F4:H7"/>
    <mergeCell ref="I4: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7409" r:id="rId4">
          <objectPr defaultSize="0" r:id="rId5">
            <anchor moveWithCells="1">
              <from>
                <xdr:col>2</xdr:col>
                <xdr:colOff>152400</xdr:colOff>
                <xdr:row>9</xdr:row>
                <xdr:rowOff>85725</xdr:rowOff>
              </from>
              <to>
                <xdr:col>5</xdr:col>
                <xdr:colOff>590550</xdr:colOff>
                <xdr:row>13</xdr:row>
                <xdr:rowOff>28575</xdr:rowOff>
              </to>
            </anchor>
          </objectPr>
        </oleObject>
      </mc:Choice>
      <mc:Fallback>
        <oleObject progId="Equation.3" shapeId="1740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Modelo</vt:lpstr>
      <vt:lpstr>Fcal</vt:lpstr>
      <vt:lpstr>GeralComDiluicao</vt:lpstr>
      <vt:lpstr>GeralSemDiluicao</vt:lpstr>
    </vt:vector>
  </TitlesOfParts>
  <Company>CNEN- Poços de Caldas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cp:lastPrinted>2011-07-21T13:20:04Z</cp:lastPrinted>
  <dcterms:created xsi:type="dcterms:W3CDTF">2011-06-27T10:47:00Z</dcterms:created>
  <dcterms:modified xsi:type="dcterms:W3CDTF">2015-03-19T17:53:47Z</dcterms:modified>
</cp:coreProperties>
</file>